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3"/>
  </bookViews>
  <sheets>
    <sheet name="清单" sheetId="10" r:id="rId1"/>
    <sheet name="封面" sheetId="5" r:id="rId2"/>
    <sheet name="限价" sheetId="2" r:id="rId3"/>
    <sheet name="甲供主要材料" sheetId="4" r:id="rId4"/>
    <sheet name="临时设施甲供材" sheetId="8" r:id="rId5"/>
    <sheet name="周转材料及大型机械设备表" sheetId="9" r:id="rId6"/>
  </sheets>
  <definedNames>
    <definedName name="_xlnm.Print_Titles" localSheetId="2">限价!#REF!</definedName>
    <definedName name="_xlnm.Print_Area" localSheetId="3">甲供主要材料!$A$1:$F$19</definedName>
    <definedName name="_xlnm.Print_Area" localSheetId="4">临时设施甲供材!$A$1:$F$19</definedName>
    <definedName name="_xlnm.Print_Area" localSheetId="5">周转材料及大型机械设备表!$A$1:$F$13</definedName>
    <definedName name="_xlnm.Print_Titles" localSheetId="0">清单!#REF!</definedName>
  </definedNames>
  <calcPr calcId="144525" concurrentCalc="0"/>
</workbook>
</file>

<file path=xl/comments1.xml><?xml version="1.0" encoding="utf-8"?>
<comments xmlns="http://schemas.openxmlformats.org/spreadsheetml/2006/main">
  <authors>
    <author>Administrator</author>
  </authors>
  <commentList>
    <comment ref="B119" authorId="0">
      <text>
        <r>
          <rPr>
            <sz val="9"/>
            <rFont val="宋体"/>
            <charset val="134"/>
          </rPr>
          <t xml:space="preserve">水电投标合同总价
</t>
        </r>
      </text>
    </comment>
    <comment ref="C119" authorId="0">
      <text>
        <r>
          <rPr>
            <sz val="9"/>
            <rFont val="宋体"/>
            <charset val="134"/>
          </rPr>
          <t xml:space="preserve">含税材料价
</t>
        </r>
      </text>
    </comment>
  </commentList>
</comments>
</file>

<file path=xl/comments2.xml><?xml version="1.0" encoding="utf-8"?>
<comments xmlns="http://schemas.openxmlformats.org/spreadsheetml/2006/main">
  <authors>
    <author>Administrator</author>
  </authors>
  <commentList>
    <comment ref="B119" authorId="0">
      <text>
        <r>
          <rPr>
            <sz val="9"/>
            <rFont val="宋体"/>
            <charset val="134"/>
          </rPr>
          <t xml:space="preserve">水电投标合同总价
</t>
        </r>
      </text>
    </comment>
    <comment ref="C119" authorId="0">
      <text>
        <r>
          <rPr>
            <sz val="9"/>
            <rFont val="宋体"/>
            <charset val="134"/>
          </rPr>
          <t xml:space="preserve">含税材料价
</t>
        </r>
      </text>
    </comment>
  </commentList>
</comments>
</file>

<file path=xl/sharedStrings.xml><?xml version="1.0" encoding="utf-8"?>
<sst xmlns="http://schemas.openxmlformats.org/spreadsheetml/2006/main" count="834" uniqueCount="237">
  <si>
    <r>
      <rPr>
        <b/>
        <u/>
        <sz val="18"/>
        <rFont val="宋体"/>
        <charset val="134"/>
      </rPr>
      <t xml:space="preserve">阿依河竹板桥至牛角寨游客安全通道项目 </t>
    </r>
    <r>
      <rPr>
        <b/>
        <sz val="18"/>
        <rFont val="宋体"/>
        <charset val="134"/>
      </rPr>
      <t>工程劳务分包
清单表</t>
    </r>
  </si>
  <si>
    <t>序号</t>
  </si>
  <si>
    <t>清单项目名称</t>
  </si>
  <si>
    <t>项目特征及工作内容</t>
  </si>
  <si>
    <t>单位</t>
  </si>
  <si>
    <t>工程量</t>
  </si>
  <si>
    <t>综合单价(元）</t>
  </si>
  <si>
    <t>合价（元）</t>
  </si>
  <si>
    <t>备注
（计量、计价规则）</t>
  </si>
  <si>
    <t>一</t>
  </si>
  <si>
    <t>临时设施工程</t>
  </si>
  <si>
    <t>临设用房搭设</t>
  </si>
  <si>
    <t>1.范围：民工宿舍、项目部管理用房、职工生活辅助用房及其它临设用房
2.结构型式：根据施工组织设计及现场实际情况综合考虑</t>
  </si>
  <si>
    <t>m2</t>
  </si>
  <si>
    <t>1.计量规则：按《重庆市建筑工程计价定额》（2018版）及其相关规定计算建筑面积</t>
  </si>
  <si>
    <t>临设用房的拆除及场地清理</t>
  </si>
  <si>
    <t>1.范围：民工宿舍、项目部管理用房、职工生活辅助用房及其它临设用房的拆除
2.结构型式：根据施工组织设计及现场实际情况综合考虑</t>
  </si>
  <si>
    <t>自拌砼</t>
  </si>
  <si>
    <t>1.范围：施工及管理现场临时板房基础、截水沟垫层、临时小路垫层
2.工作内容：浇筑、压实、抹平、收面、锯缝、养护等</t>
  </si>
  <si>
    <t>m3</t>
  </si>
  <si>
    <t>1.计量规则：根据施工组织设计、现场平面布置图计算工程量</t>
  </si>
  <si>
    <t>抹灰</t>
  </si>
  <si>
    <t>1.范围：临设范围内所有零星及其它抹灰
2.工作内容：人工及辅材、转运、小型机具及脚手架搭设、拆除</t>
  </si>
  <si>
    <t>砌体</t>
  </si>
  <si>
    <t>1.范围：临设范围内的挡水线，散水等零星砌体
2.工作内容：人工及辅材、转运、小型机具及脚手架搭设等
3.结构形式：综合考虑</t>
  </si>
  <si>
    <t>模板支模</t>
  </si>
  <si>
    <t>1.范围：临设范围内所有板房砼基础
2.工作内容：人工及辅材、转运、小型机具及脚手架搭设、拆除</t>
  </si>
  <si>
    <t>安装天棚吸音石膏板吊顶</t>
  </si>
  <si>
    <t>1.范围：临设范围内所有天棚
2.工作内容：人工、材料、机械等所有工作内以及脚手架搭设、拆除</t>
  </si>
  <si>
    <t>水电安装</t>
  </si>
  <si>
    <t>1、范围：临设范围内所有水电安装
2、工作内容：人工安装及辅材等</t>
  </si>
  <si>
    <t>工程材料的二次转运及上下车费</t>
  </si>
  <si>
    <t>1.范围：临设范围内所有工程材料的二次转运及上下车费</t>
  </si>
  <si>
    <t>项</t>
  </si>
  <si>
    <t>二</t>
  </si>
  <si>
    <t>主体工程</t>
  </si>
  <si>
    <t>（一）</t>
  </si>
  <si>
    <t>土石方工程</t>
  </si>
  <si>
    <t>山体基岩处理</t>
  </si>
  <si>
    <t>[项目特征]
1.岩石类别:软质岩
2.开凿深度:综合考虑，满足设计及规费要求
[工作内容]
1.排地表水
2.石方开凿
3.修整底、边</t>
  </si>
  <si>
    <t>1.计量规则：按《重庆市建筑工程计价定额》（2018版）及其相关规定计算</t>
  </si>
  <si>
    <t>挖基坑石方</t>
  </si>
  <si>
    <t>[项目特征]
1.岩石类别:软质岩
2.开挖方式:综合考虑
3.开凿深度:综合考虑
[工作内容]
1.排地表水
2.凿石</t>
  </si>
  <si>
    <t>挖基坑土方</t>
  </si>
  <si>
    <t>[项目特征]
1.土壤类别:综合考虑
2.开挖方式:综合考虑
3.挖土深度:综合考虑
[工作内容]
1.排地表水
2.土方开挖
3.围护(挡土板)及拆除</t>
  </si>
  <si>
    <t>换填垫层</t>
  </si>
  <si>
    <t>[项目特征]
1.材料种类及配比:C20毛石砼（毛石含量25%）
2.压实系数:满足设计及规费要去
[工作内容]
1.分层铺填
2.碾压、振密或夯实
3.材料运输</t>
  </si>
  <si>
    <t>弃方场内运输 100m以内</t>
  </si>
  <si>
    <t>[项目特征]
1.废弃料品种:土方、石方、现场不可利用方综合考虑
2.运距:场内运距100m
[工作内容]
1.余方点装料运输至弃置点</t>
  </si>
  <si>
    <t>弃方场内运距增减100m</t>
  </si>
  <si>
    <t>[项目特征]
1.废弃料品种:土方、石方、现场不可利用方综合考虑
2.运距:场内运距增减100m
3.运输器具及方式:综合考虑
4.其他说明:运距以现场实际运输距离以m计算，结算单价按现场实际运距与100m的比例进行折算，运输距离不因现场地质条件（上、下坡等）进行折算，其增加部分费用由投标人综合考虑
[工作内容]
1.余方点装料运输至弃置点</t>
  </si>
  <si>
    <t>树木植被清理</t>
  </si>
  <si>
    <t>[项目特征]
1.植被情况:满足施工需求及交付后正常通行
2.计量规则:工程量根据现场签证确定
[工作内容]
1.砍挖
2.清理
3.废弃物运输
4.场地清理</t>
  </si>
  <si>
    <t>㎡</t>
  </si>
  <si>
    <t>（二）</t>
  </si>
  <si>
    <t>做法1（普通栈道）</t>
  </si>
  <si>
    <t>栈道结构(做法1）</t>
  </si>
  <si>
    <t>[项目特征]
1.使用部位:安全通道做法（一）栈道梁、板
2.具体做法:详施工图03
3.模板:综合考虑
4.混凝土种类:自拌砼
5.混凝土强度等级:C30
6.其他:满足设计及规范要求
[工作内容]
1.模板及支架(撑)制作、安装、拆除、堆放、运输及清理模内杂物、刷隔离剂等
2.混凝土制作、运输、浇筑、振捣、养护</t>
  </si>
  <si>
    <t>现浇钢筋</t>
  </si>
  <si>
    <t>[项目特征]
1.钢筋种类:综合考虑
2.钢筋规格:综合考虑
3.钢筋连接:与锚杆的连接、构件内钢筋连接满足设计要求
[工作内容]
1.制作
2.运输
3.安装</t>
  </si>
  <si>
    <t>t</t>
  </si>
  <si>
    <t>锚杆 D=25mm</t>
  </si>
  <si>
    <t>[项目特征]
1.地层情况:综合考虑
2.锚杆(索)类型、部位:栈道与山体连接处
3.钻孔深度:综合考虑
4.钻孔直径:D=25mm
5.杆体材料品种、规格、数量:HRB400 现浇钢筋；20
6.浆液种类、强度等级:满足设计及规范要求
[工作内容]
1.钻孔、浆液制作、运输、压浆
2.锚杆(锚索)制作、安装
3.张拉锚固
4.锚杆(锚索)施工平台搭设、拆除</t>
  </si>
  <si>
    <t>m</t>
  </si>
  <si>
    <t>锚杆D-20</t>
  </si>
  <si>
    <t>[项目特征]
1.地层情况:综合考虑
2.锚杆(索)类型、部位:栈道与山体连接处
3.钻孔直径、深度:直径20mm，深度满足设计及规范要求
4.杆体材料品种、规格、数量:HRB400-16钢筋
5.浆液种类、强度等级:满足设计及规范要求
[工作内容]
1.钻孔、浆液制作、运输、压浆
2.锚杆(索)制作、安装
3.张拉锚固
4.锚杆(索)施工平台搭设、拆除</t>
  </si>
  <si>
    <t>锚杆D-16</t>
  </si>
  <si>
    <t>[项目特征]
1.地层情况:综合考虑
2.锚杆(索)类型、部位:栈道与山体连接处
3.钻孔直径、深度:直径16mm，深度满足设计及规范要求
4.杆体材料品种、规格、数量:HRB400-14钢筋
5.浆液种类、强度等级:满足设计及规范要求
[工作内容]
1.钻孔、浆液制作、运输、压浆
2.锚杆(索)制作、安装
3.张拉锚固
4.锚杆(索)施工平台搭设、拆除</t>
  </si>
  <si>
    <t>斩假石栈道面层</t>
  </si>
  <si>
    <t>[项目特征]
1.使用部位:栈道地面
2.其他:满足设计及规范要求
3.配色要求:综合考虑，满足现场使用要求
4.面层厚度、混凝土强度等级:40厚 C30细石砼
[工作内容]
1.基层清理
2.抹找平层
3.面层铺设
4.材料运输</t>
  </si>
  <si>
    <t>仿木栏杆</t>
  </si>
  <si>
    <t>[项目特征]
1.高度:详设计
2.混凝土强度等级:C30
3.混凝土种类:自拌砼
4.现浇钢筋规格:综合考虑
5.与栈道连接方式:综合考虑
6.仿木漆种类:满足现场使用要求
7.其他:满足设计及使用要求
[工作内容]
1.模板制作、安装、拆除、堆放、清理、刷隔离剂、运输
2.混凝土制作、运输、浇筑、振捣、养护</t>
  </si>
  <si>
    <t>（三）</t>
  </si>
  <si>
    <t>做法2（普通栈桥）</t>
  </si>
  <si>
    <t>栈道结构(做法2）</t>
  </si>
  <si>
    <t>[项目特征]
1.使用部位:安全通道做法（二）栈道梁、板
2.具体做法:详施工图04
3.其他:满足设计及规范要求
4.模板:综合考虑
5.混凝土种类:自拌
6.混凝土强度等级:C30
[工作内容]
1.模板及支架(撑)制作、安装、拆除、堆放、运输及清理模内杂物、刷隔离剂等
2.混凝土制作、运输、浇筑、振捣、养护</t>
  </si>
  <si>
    <t>矩形柱</t>
  </si>
  <si>
    <t>[项目特征]
1.混凝土种类:自拌
2.混凝土强度等级:C30
3.模板:综合考虑
[工作内容]
1.模板及支架(撑)制作、安装、拆除、堆放、运输及清理模内杂物、刷隔离剂等
2.混凝土制作、运输、浇筑、振捣、养护</t>
  </si>
  <si>
    <t>混凝土基础</t>
  </si>
  <si>
    <t>[项目特征]
1.混凝土种类:自拌砼
2.混凝土强度等级:C30
3.模板:满足设计及规范要求
[工程内容]
1.模板制作、安装、拆除
2.混凝土拌和、运输、浇筑
3.养护</t>
  </si>
  <si>
    <t>垫层</t>
  </si>
  <si>
    <t>[项目特征]
1.混凝土种类:自拌
2.混凝土强度等级:C15
3.模板:综合
[工作内容]
1.模板及支撑制作、安装、拆除、堆放、运输及清理模内杂物、刷隔离剂等
2.混凝土制作、运输、浇筑、振捣、养护</t>
  </si>
  <si>
    <t>（四）</t>
  </si>
  <si>
    <t>做法3（错车栈道）</t>
  </si>
  <si>
    <t>栈道结构(做法3）</t>
  </si>
  <si>
    <t>[项目特征]
1.使用部位:安全通道做法（三）栈道梁、板
2.具体做法:详施工图05
3.其他:满足设计及规范要求
4.模板:综合考虑
5.混凝土种类:自拌
6.混凝土强度等级:C30
[工作内容]
1.模板及支架(撑)制作、安装、拆除、堆放、运输及清理模内杂物、刷隔离剂等
2.混凝土制作、运输、浇筑、振捣、养护</t>
  </si>
  <si>
    <t>斜撑梁</t>
  </si>
  <si>
    <t>[项目特征]
1.部位:详施工图06
2.混凝土种类:自拌砼
3.混凝土强度等级:C30
4.模板:综合考虑
[工作内容]
1.模板(支架或支撑)制作、安装、拆除、堆放、运输及清理模内杂物、刷隔离剂等
2.混凝土制作、运输、浇筑、振捣、养护</t>
  </si>
  <si>
    <t>（五）</t>
  </si>
  <si>
    <t>做法4（错车栈桥）</t>
  </si>
  <si>
    <t>栈道结构(做法4）</t>
  </si>
  <si>
    <t>[项目特征]
1.使用部位:安全通道做法（四）栈道梁、板
2.具体做法:详施工图06、07
3.其他:满足设计及规范要求
4.模板:综合考虑
5.混凝土种类:自拌
6.混凝土强度等级:C30
[工作内容]
1.模板及支架(撑)制作、安装、拆除、堆放、运输及清理模内杂物、刷隔离剂等
2.混凝土制作、运输、浇筑、振捣、养护</t>
  </si>
  <si>
    <t>（六）</t>
  </si>
  <si>
    <t>做法5（原地面栈道）</t>
  </si>
  <si>
    <t>混凝土挡墙墙身</t>
  </si>
  <si>
    <t>[项目特征]
1.详细做法:结合现场实际，按照图集《04J008》选取
2.混凝土种类:片石砼，片石含量25%（片石粒径控制在200mm以下）
3.混凝土强度等级:C20
4.泄水孔材料品种、规格:详设计
5.台背换填:碎石土换填，碎石含量不小于30%，粒径不大于100mm
6.沉降缝要求:满足设计及规范要求
[工作内容]
1.模板制作、安装、拆除
2.混凝土拌和、运输、浇筑
3.养护
4.抹灰
5.泄水孔制作、安装
6.滤水层铺筑
7.沉降缝</t>
  </si>
  <si>
    <t>（七）</t>
  </si>
  <si>
    <t>停车坪平台</t>
  </si>
  <si>
    <t>停车平台板面</t>
  </si>
  <si>
    <t>[项目特征]
1.混凝土种类:自拌
2.使用部位:停车坪平台梁、板
3.具体做法:详施工图08、09
4.混凝土强度等级:C30
5.温度缝设置:长度间距20m，宽度30mm
6.其他:满足设计及规范要求
7.模板:综合考虑
[工作内容]
1.模板及支架(撑)制作、安装、拆除、堆放、运输及清理模内杂物、刷隔离剂等
2.混凝土制作、运输、浇筑、振捣、养护</t>
  </si>
  <si>
    <t>（八）</t>
  </si>
  <si>
    <t>避险平台</t>
  </si>
  <si>
    <t>[项目特征]
1.详细做法:结合现场实际，按照图集《04J008》选取
2.混凝土种类:片石砼，片石含量25%（片石粒径控制在200mm以下）
3.混凝土强度等级:C20
4.泄水孔材料品种、规格:详设计
5.台背换填:碎石土换填，碎石含量不小于30%，粒径不大于100mm
6.沉降缝要求:满足设计及规范要求
[工作内容]
1.模板制作、安装、拆除
2.混凝土拌和、运输、浇筑
3.养护
4.泄水孔制作、安装
5.滤水层铺筑
6.沉降缝</t>
  </si>
  <si>
    <t>台阶</t>
  </si>
  <si>
    <t>[项目特征]
1.其他:详施工图07
2.混凝土种类:自拌
3.混凝土强度等级:C20
4.折算厚度:综合考虑
5.模板:综合
[工作内容]
1.模板及支撑制作、安装、拆除、堆放、运输及清理模内杂物、刷隔离剂等
2.混凝土制作、运输、浇筑、振捣、养护</t>
  </si>
  <si>
    <t>[项目特征]
1.使用部位:避险平台地面
2.其他:满足设计及规范要求
3.配色要求:综合考虑，满足现场使用要求
4.面层厚度、混凝土强度等级:40厚 C30细石砼
[工作内容]
1.基层清理
2.抹找平层
3.面层铺设
4.材料运输</t>
  </si>
  <si>
    <t>斩假石栈道面层 台阶</t>
  </si>
  <si>
    <t>[项目特征]
1.使用部位:避险平台台阶
2.其他:满足设计及规范要求
3.配色要求:综合考虑，满足现场使用要求
4.面层厚度、混凝土强度等级:40厚 C30细石砼
[工作内容]
1.基层清理
2.抹找平层
3.面层铺设
4.材料运输</t>
  </si>
  <si>
    <t>（九）</t>
  </si>
  <si>
    <t>场外转运（接待中心至竹板桥）</t>
  </si>
  <si>
    <t>特细砂、中砂、碎石、石屑、块片石、水泥、钢材等按t计算的甲供材料转运</t>
  </si>
  <si>
    <t>[项目特征]
1.运输材料种类:特细砂、中砂、碎石、石屑、块片石、水泥、钢材等按t计算的甲供材料
2.运输区间:甲供材料卸货点至竹板桥施工起点
3.运距:综合考虑
4.运输器具及方式:综合考虑
5.计算规则:按材料实际使用量以t计算（以现场实际材料使用量与重庆市18定额考虑损耗后的使用量的较小值计算）；材料比重以重庆市08定额附件《混凝土、砂浆配合比表》为准
6.其他:运距以现场实际运输距离以m计算,运输距离不因现场地质条件（上、下坡等）进行折算，其增加部分费用由投标人综合考虑
[工作内容]
1.材料人工装、运、卸
2.材料堆放及清扫场地
3.其他人力运输相关内容</t>
  </si>
  <si>
    <t>锯材、木料等按m3计算的甲供材料</t>
  </si>
  <si>
    <t>[项目特征]
1.运输材料种类:锯材、木料等按m3计算的甲供材料
2.运输区间:接待中心至施工起点
3.运距:综合考虑
4.运输器具及方式:综合考虑
5.计算规则:按材料实际使用量以m3计算（以现场实际材料使用量与重庆市018定额考虑损耗后的使用量的较小值计算）；运距综合
6.其他:运距以现场实际运输距离以m计算,运输距离不因现场地质条件（上、下坡等）进行折算，其增加部分费用由投标人综合考虑
[工作内容]
1.材料人工装、运、卸
2.材料堆放及清扫场地
3.其他人力运输相关内容</t>
  </si>
  <si>
    <t>木模板、胶合板等按m2计算的甲供材料</t>
  </si>
  <si>
    <t>[项目特征]
1.运输材料种类:木模板、胶合板等按m2计算的甲供材料
2.运输区间:接待中心至施工起点
3.运距:综合考虑
4.运输器具及方式:综合考虑
5.计算规则:按材料实际使用量以m2计算（以现场实际材料使用量与重庆市18定额考虑损耗后的使用量的较小值计算）；运距综合
6.其他:运距以现场实际运输距离以m计算,运输距离不因现场地质条件（上、下坡等）进行折算，其增加部分费用由投标人综合考虑
[工作内容]
1.材料人工装、运、卸
2.材料堆放及清扫场地
3.其他人力运输相关内容</t>
  </si>
  <si>
    <t>（十）</t>
  </si>
  <si>
    <t>场外转运（景区出口至牛角寨）</t>
  </si>
  <si>
    <t>（十一）</t>
  </si>
  <si>
    <t>场内转运</t>
  </si>
  <si>
    <t>特细砂、中砂、碎石、石屑、块片石、水泥、钢材等按t计算的甲供材料转运 暂定基本运距</t>
  </si>
  <si>
    <t>[项目特征]
1.运输材料种类:特细砂、中砂、碎石、石屑、块片石、水泥、钢材等按t计算的甲供材料
2.运距:暂定800m
3.运输器具及方式:综合考虑
4.计算规则:按材料实际使用量以t计算（以现场实际材料使用量与重庆市18定额考虑损耗后的使用量的较小值计算）；材料比重以重庆市08定额附件《混凝土、砂浆配合比表》为准
5.其他:运距以现场实际运输距离以m计算,运输距离不因现场地质条件（上、下坡等）进行折算，其增加部分费用由投标人综合考虑
[工作内容]
1.材料人工装、运、卸
2.材料堆放及清扫场地
3.其他人力运输相关内容</t>
  </si>
  <si>
    <t>特细砂、中砂、碎石、石屑、块片石、水泥、钢材等按t计算的甲供材料转运 每增、减运距</t>
  </si>
  <si>
    <t>[项目特征]
1.运输材料种类:特细砂、中砂、碎石、石屑、块片石、水泥、钢材等按t计算的甲供材料
2.运距:每增、减100m
3.运输器具及方式:综合考虑
4.计算规则:按材料实际使用量以t计算（以现场实际材料使用量与重庆市18定额考虑损耗后的使用量的较小值计算）；材料比重以重庆市08定额附件《混凝土、砂浆配合比表》为准
5.其他:运距以现场实际运输距离以m计算,运输距离不因现场地质条件（上、下坡等）进行折算，其增加部分费用由投标人综合考虑
[工作内容]
1.材料人工装、运、卸
2.材料堆放及清扫场地
4.其他人力运输相关内容</t>
  </si>
  <si>
    <t>锯材、木料等按m3计算的甲供材料 暂定基本运距</t>
  </si>
  <si>
    <t>[项目特征]
1.运输材料种类:锯材、木料等按m3计算的甲供材料
2.运输区间:接待中心至施工起点
3.运距:暂定800m
4.运输器具及方式:综合考虑
5.计算规则:按材料实际使用量以m3计算（以现场实际材料使用量与重庆市018定额考虑损耗后的使用量的较小值计算）；运距综合
6.其他:运距以现场实际运输距离以m计算,运输距离不因现场地质条件（上、下坡等）进行折算，其增加部分费用由投标人综合考虑
[工作内容]
1.材料人工装、运、卸
2.材料堆放及清扫场地
3.其他人力运输相关内容</t>
  </si>
  <si>
    <t>锯材、木料等按m3计算的甲供材料 每增、减运距</t>
  </si>
  <si>
    <t>[项目特征]
1.运输材料种类:锯材、木料等按m3计算的甲供材料
2.运输区间:接待中心至施工起点
3.运距:每增、减100m
4.运输器具及方式:综合考虑
5.计算规则:按材料实际使用量以m3计算（以现场实际材料使用量与重庆市018定额考虑损耗后的使用量的较小值计算）；运距综合
6.其他:运距以现场实际运输距离以m计算,运输距离不因现场地质条件（上、下坡等）进行折算，其增加部分费用由投标人综合考虑
[工作内容]
1.材料人工装、运、卸
2.材料堆放及清扫场地
3.其他人力运输相关内容</t>
  </si>
  <si>
    <t>木模板、胶合板等按m2计算的甲供材料 暂定基本运距</t>
  </si>
  <si>
    <t>[项目特征]
1.运输材料种类:木模板、胶合板等按m2计算的甲供材料
2.运输区间:接待中心至施工起点
3.运距:暂定800m
4.运输器具及方式:综合考虑
5.计算规则:按材料实际使用量以m2计算（以现场实际材料使用量与重庆市18定额考虑损耗后的使用量的较小值计算）；运距综合
6.其他:运距以现场实际运输距离以m计算,运输距离不因现场地质条件（上、下坡等）进行折算，其增加部分费用由投标人综合考虑
[工作内容]
1.材料人工装、运、卸
2.材料堆放及清扫场地
3.其他人力运输相关内容</t>
  </si>
  <si>
    <t>木模板、胶合板等按m2计算的甲供材料 每增、减运距</t>
  </si>
  <si>
    <t>[项目特征]
1.运输材料种类:木模板、胶合板等按m2计算的甲供材料
2.运输区间:接待中心至施工起点
3.运距:每增、减100m
4.运输器具及方式:综合考虑
5.计算规则:按材料实际使用量以m2计算（以现场实际材料使用量与重庆市18定额考虑损耗后的使用量的较小值计算）；运距综合
6.其他:运距以现场实际运输距离以m计算,运输距离不因现场地质条件（上、下坡等）进行折算，其增加部分费用由投标人综合考虑
[工作内容]
1.材料人工装、运、卸
2.材料堆放及清扫场地
3.其他人力运输相关内容</t>
  </si>
  <si>
    <t>（十二）</t>
  </si>
  <si>
    <t>措施费</t>
  </si>
  <si>
    <t>脚手架搭建</t>
  </si>
  <si>
    <t>[项目特征]
1.搭设方式:综合考虑
2.搭设高度:综合考虑
3.脚手架材质:综合考虑
4.其他:脚手架应满足现场使用要求，不因施工周期及其他任何因素进行费用的增减
5.计算方式:按栈道水平投影面积计算
[工作内容]
1.场内、场外材料搬运
2.搭、拆脚手架、斜道、上料平台
3.安全网的铺设
4.拆除脚手架后材料的堆放</t>
  </si>
  <si>
    <t>三</t>
  </si>
  <si>
    <t>其它费用</t>
  </si>
  <si>
    <t>施工场地外办公室及宿舍租赁包干费</t>
  </si>
  <si>
    <t>安全、文明施工费</t>
  </si>
  <si>
    <t>1.按照《重庆市建筑工程计价定额》（2018版）的相关规定及其配套文件中所规定的安全文明施工费组成的所有费用</t>
  </si>
  <si>
    <t>元</t>
  </si>
  <si>
    <t>1.计价基数：主体工程</t>
  </si>
  <si>
    <t>管理费</t>
  </si>
  <si>
    <t>1.办公费用、宿舍空调、生活区水电、门卫等费用
2.现场管理员、塔吊操作工、指挥工、勤杂工等辅助人员工资及生活费用</t>
  </si>
  <si>
    <t>1.计价基数：临时设施工程+主体工程+施工场地外办公室及宿舍租赁包干费+安全文明施工费</t>
  </si>
  <si>
    <t>利润</t>
  </si>
  <si>
    <t>四</t>
  </si>
  <si>
    <t>税前造价</t>
  </si>
  <si>
    <t>临时设施工程+主体工程+其他费用</t>
  </si>
  <si>
    <t>五</t>
  </si>
  <si>
    <t>税金</t>
  </si>
  <si>
    <t>1.增值税及附加</t>
  </si>
  <si>
    <t>1.计价基数：税前造价</t>
  </si>
  <si>
    <t>六</t>
  </si>
  <si>
    <t>总价（税前造价+税金）</t>
  </si>
  <si>
    <r>
      <rPr>
        <b/>
        <sz val="11"/>
        <rFont val="宋体"/>
        <charset val="134"/>
      </rPr>
      <t>说明：
1、本清单综合单价包括（除甲供材料及设备外）但不限于：人工费、检测配合人工费；辅助材料费；小型机具费（水钻、空压机、料斗、磨儿机、钢筋制作设备等）；进度、质量保证措施费、管理费、利润等一切费用。
2、本工程为综合单价包干，不因任何原因调整。
3、本工程项目增值税税金以中标人实际开具的增值税专用发票按实计取，如中标人填报税率与实际开票税率不一致，以实际开票税率为准。
4、本工程安全文明施工费暂定</t>
    </r>
    <r>
      <rPr>
        <b/>
        <u/>
        <sz val="11"/>
        <rFont val="宋体"/>
        <charset val="134"/>
      </rPr>
      <t>409032.30</t>
    </r>
    <r>
      <rPr>
        <b/>
        <sz val="11"/>
        <rFont val="宋体"/>
        <charset val="134"/>
      </rPr>
      <t>元。结算时以主体工程的税前合价为基数按</t>
    </r>
    <r>
      <rPr>
        <b/>
        <u/>
        <sz val="11"/>
        <rFont val="宋体"/>
        <charset val="134"/>
      </rPr>
      <t>3</t>
    </r>
    <r>
      <rPr>
        <b/>
        <sz val="11"/>
        <rFont val="宋体"/>
        <charset val="134"/>
      </rPr>
      <t>%的比例计取。
5、甲供材料及设备内容：详附件一、附件二、附件三。</t>
    </r>
  </si>
  <si>
    <r>
      <rPr>
        <u/>
        <sz val="20"/>
        <color rgb="FF000000"/>
        <rFont val="宋体"/>
        <charset val="134"/>
      </rPr>
      <t>阿依河竹板桥至牛角寨游客安全通道项目</t>
    </r>
    <r>
      <rPr>
        <sz val="20"/>
        <color rgb="FF000000"/>
        <rFont val="宋体"/>
        <charset val="134"/>
      </rPr>
      <t>工程劳务分包</t>
    </r>
  </si>
  <si>
    <t>竞争性比选最高限价</t>
  </si>
  <si>
    <t>招标限价（税前造价）</t>
  </si>
  <si>
    <t>(小写):</t>
  </si>
  <si>
    <t/>
  </si>
  <si>
    <t>(大写):</t>
  </si>
  <si>
    <t xml:space="preserve">其中:安全文明施工费  </t>
  </si>
  <si>
    <t xml:space="preserve">          (大写):</t>
  </si>
  <si>
    <t>编   制   人：</t>
  </si>
  <si>
    <t>定价小组成员：</t>
  </si>
  <si>
    <t>定价小组组长：</t>
  </si>
  <si>
    <t>时间：       年        月       日</t>
  </si>
  <si>
    <r>
      <rPr>
        <b/>
        <u/>
        <sz val="18"/>
        <rFont val="宋体"/>
        <charset val="134"/>
      </rPr>
      <t xml:space="preserve">阿依河竹板桥至牛角寨游客安全通道项目 </t>
    </r>
    <r>
      <rPr>
        <b/>
        <sz val="18"/>
        <rFont val="宋体"/>
        <charset val="134"/>
      </rPr>
      <t>工程劳务分包
清单限价表</t>
    </r>
  </si>
  <si>
    <t>附件一</t>
  </si>
  <si>
    <r>
      <rPr>
        <b/>
        <u/>
        <sz val="16"/>
        <color rgb="FF000000"/>
        <rFont val="宋体"/>
        <charset val="134"/>
      </rPr>
      <t xml:space="preserve">阿依河竹板桥至牛角寨游客安全通道项目 </t>
    </r>
    <r>
      <rPr>
        <b/>
        <sz val="16"/>
        <color rgb="FF000000"/>
        <rFont val="宋体"/>
        <charset val="134"/>
      </rPr>
      <t>项目
甲供主材料明细表</t>
    </r>
  </si>
  <si>
    <t>项目名称：</t>
  </si>
  <si>
    <t>材料名称</t>
  </si>
  <si>
    <t>规格、型号</t>
  </si>
  <si>
    <t>材料用量
（暂估）</t>
  </si>
  <si>
    <t>备注</t>
  </si>
  <si>
    <t>钢筋</t>
  </si>
  <si>
    <t>综合</t>
  </si>
  <si>
    <t>kg</t>
  </si>
  <si>
    <t>Ф10以外</t>
  </si>
  <si>
    <t>水泥</t>
  </si>
  <si>
    <t>32.5R</t>
  </si>
  <si>
    <t>特细砂</t>
  </si>
  <si>
    <t>碎石</t>
  </si>
  <si>
    <t>5~10</t>
  </si>
  <si>
    <t>583.1484</t>
  </si>
  <si>
    <t>5~20</t>
  </si>
  <si>
    <t>2729.2945</t>
  </si>
  <si>
    <t>5~31.5</t>
  </si>
  <si>
    <t>6572.6633</t>
  </si>
  <si>
    <t>块(片)石</t>
  </si>
  <si>
    <t>551.4004</t>
  </si>
  <si>
    <t>6104.63</t>
  </si>
  <si>
    <t>木材</t>
  </si>
  <si>
    <t>锯材</t>
  </si>
  <si>
    <t>274.4142</t>
  </si>
  <si>
    <t>复合模板</t>
  </si>
  <si>
    <t>7677.0404</t>
  </si>
  <si>
    <t>附件二</t>
  </si>
  <si>
    <r>
      <rPr>
        <b/>
        <u/>
        <sz val="16"/>
        <color rgb="FF000000"/>
        <rFont val="宋体"/>
        <charset val="134"/>
      </rPr>
      <t xml:space="preserve">阿依河竹板桥至牛角寨游客安全通道项目 </t>
    </r>
    <r>
      <rPr>
        <b/>
        <sz val="16"/>
        <color rgb="FF000000"/>
        <rFont val="宋体"/>
        <charset val="134"/>
      </rPr>
      <t>项目临时设施
甲供主材料明细表</t>
    </r>
  </si>
  <si>
    <t>页岩实心砖</t>
  </si>
  <si>
    <t>240×115×53</t>
  </si>
  <si>
    <t>块</t>
  </si>
  <si>
    <t>石子</t>
  </si>
  <si>
    <t>32.5水泥</t>
  </si>
  <si>
    <t>河砂</t>
  </si>
  <si>
    <t>天棚吸音石膏板吊顶</t>
  </si>
  <si>
    <t>灯具 LED灯</t>
  </si>
  <si>
    <t>套</t>
  </si>
  <si>
    <t>BV-2.5mm2</t>
  </si>
  <si>
    <t>BV-4mm2</t>
  </si>
  <si>
    <t>BV-6mm2</t>
  </si>
  <si>
    <t>BV-10mm2</t>
  </si>
  <si>
    <t>PCV20套管</t>
  </si>
  <si>
    <t>插座及开关</t>
  </si>
  <si>
    <t>双壁波纹管DN300</t>
  </si>
  <si>
    <t>PPR-DN25</t>
  </si>
  <si>
    <t>办公室活动板房（租赁）</t>
  </si>
  <si>
    <t>附件三</t>
  </si>
  <si>
    <r>
      <rPr>
        <b/>
        <u/>
        <sz val="16"/>
        <color rgb="FF000000"/>
        <rFont val="宋体"/>
        <charset val="134"/>
      </rPr>
      <t xml:space="preserve">阿依河竹板桥至牛角寨游客安全通道项目 </t>
    </r>
    <r>
      <rPr>
        <b/>
        <sz val="16"/>
        <color rgb="FF000000"/>
        <rFont val="宋体"/>
        <charset val="134"/>
      </rPr>
      <t>项目
甲供周转材料及机械设备租赁明细表</t>
    </r>
  </si>
  <si>
    <t>材料/设备名称</t>
  </si>
  <si>
    <t>周转材料（措施费）</t>
  </si>
  <si>
    <t>模板</t>
  </si>
  <si>
    <t>购买</t>
  </si>
  <si>
    <t>木方</t>
  </si>
  <si>
    <t>M</t>
  </si>
  <si>
    <t>钢管</t>
  </si>
  <si>
    <t>租赁</t>
  </si>
  <si>
    <t>扣件</t>
  </si>
  <si>
    <t>个</t>
  </si>
  <si>
    <t>顶托</t>
  </si>
  <si>
    <t>竹跳</t>
  </si>
  <si>
    <t>张</t>
  </si>
  <si>
    <t>机械设备</t>
  </si>
  <si>
    <t>60小型挖机</t>
  </si>
  <si>
    <t>台</t>
  </si>
</sst>
</file>

<file path=xl/styles.xml><?xml version="1.0" encoding="utf-8"?>
<styleSheet xmlns="http://schemas.openxmlformats.org/spreadsheetml/2006/main">
  <numFmts count="8">
    <numFmt numFmtId="176" formatCode="0.00_ "/>
    <numFmt numFmtId="177" formatCode="0.00_);[Red]\(0.00\)"/>
    <numFmt numFmtId="42" formatCode="_ &quot;￥&quot;* #,##0_ ;_ &quot;￥&quot;* \-#,##0_ ;_ &quot;￥&quot;* &quot;-&quot;_ ;_ @_ "/>
    <numFmt numFmtId="178" formatCode="0.00;[Red]0.00"/>
    <numFmt numFmtId="44" formatCode="_ &quot;￥&quot;* #,##0.00_ ;_ &quot;￥&quot;* \-#,##0.00_ ;_ &quot;￥&quot;* &quot;-&quot;??_ ;_ @_ "/>
    <numFmt numFmtId="43" formatCode="_ * #,##0.00_ ;_ * \-#,##0.00_ ;_ * &quot;-&quot;??_ ;_ @_ "/>
    <numFmt numFmtId="41" formatCode="_ * #,##0_ ;_ * \-#,##0_ ;_ * &quot;-&quot;_ ;_ @_ "/>
    <numFmt numFmtId="179" formatCode="[DBNum2][$RMB]General;[Red][DBNum2][$RMB]General"/>
  </numFmts>
  <fonts count="48">
    <font>
      <sz val="11"/>
      <color theme="1"/>
      <name val="宋体"/>
      <charset val="134"/>
      <scheme val="minor"/>
    </font>
    <font>
      <sz val="11"/>
      <name val="微软雅黑"/>
      <charset val="134"/>
    </font>
    <font>
      <sz val="10"/>
      <name val="Arial"/>
      <charset val="0"/>
    </font>
    <font>
      <sz val="12"/>
      <name val="宋体"/>
      <charset val="134"/>
    </font>
    <font>
      <b/>
      <u/>
      <sz val="16"/>
      <color rgb="FF000000"/>
      <name val="宋体"/>
      <charset val="134"/>
    </font>
    <font>
      <b/>
      <sz val="16"/>
      <color indexed="8"/>
      <name val="宋体"/>
      <charset val="134"/>
    </font>
    <font>
      <sz val="10.5"/>
      <color indexed="8"/>
      <name val="黑体"/>
      <charset val="134"/>
    </font>
    <font>
      <sz val="10.5"/>
      <name val="黑体"/>
      <charset val="134"/>
    </font>
    <font>
      <sz val="10.5"/>
      <color indexed="8"/>
      <name val="宋体"/>
      <charset val="134"/>
    </font>
    <font>
      <sz val="10"/>
      <name val="宋体"/>
      <charset val="134"/>
    </font>
    <font>
      <sz val="10"/>
      <name val="SimSun"/>
      <charset val="134"/>
    </font>
    <font>
      <sz val="9"/>
      <color indexed="8"/>
      <name val="宋体"/>
      <charset val="134"/>
    </font>
    <font>
      <sz val="9"/>
      <color rgb="FFFF0000"/>
      <name val="宋体"/>
      <charset val="134"/>
    </font>
    <font>
      <sz val="11"/>
      <name val="宋体"/>
      <charset val="134"/>
    </font>
    <font>
      <b/>
      <sz val="11"/>
      <name val="宋体"/>
      <charset val="134"/>
    </font>
    <font>
      <b/>
      <sz val="12"/>
      <name val="宋体"/>
      <charset val="134"/>
    </font>
    <font>
      <b/>
      <u/>
      <sz val="18"/>
      <name val="宋体"/>
      <charset val="134"/>
    </font>
    <font>
      <b/>
      <sz val="18"/>
      <name val="宋体"/>
      <charset val="134"/>
    </font>
    <font>
      <b/>
      <sz val="11"/>
      <color theme="1"/>
      <name val="宋体"/>
      <charset val="134"/>
      <scheme val="minor"/>
    </font>
    <font>
      <b/>
      <sz val="11"/>
      <name val="??_GB2312"/>
      <charset val="0"/>
    </font>
    <font>
      <u/>
      <sz val="20"/>
      <color rgb="FF000000"/>
      <name val="宋体"/>
      <charset val="134"/>
    </font>
    <font>
      <sz val="20"/>
      <color indexed="0"/>
      <name val="宋体"/>
      <charset val="134"/>
    </font>
    <font>
      <b/>
      <sz val="26"/>
      <color indexed="0"/>
      <name val="宋体"/>
      <charset val="134"/>
    </font>
    <font>
      <sz val="12"/>
      <color indexed="0"/>
      <name val="宋体"/>
      <charset val="134"/>
    </font>
    <font>
      <sz val="11"/>
      <color theme="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sz val="9"/>
      <color theme="1"/>
      <name val="宋体"/>
      <charset val="134"/>
      <scheme val="minor"/>
    </font>
    <font>
      <b/>
      <sz val="11"/>
      <color theme="1"/>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
      <b/>
      <sz val="16"/>
      <color rgb="FF000000"/>
      <name val="宋体"/>
      <charset val="134"/>
    </font>
    <font>
      <b/>
      <u/>
      <sz val="11"/>
      <name val="宋体"/>
      <charset val="134"/>
    </font>
    <font>
      <sz val="20"/>
      <color rgb="FF000000"/>
      <name val="宋体"/>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theme="0"/>
        <bgColor indexed="1"/>
      </patternFill>
    </fill>
    <fill>
      <patternFill patternType="solid">
        <fgColor theme="8"/>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rgb="FFFFCC99"/>
        <bgColor indexed="64"/>
      </patternFill>
    </fill>
    <fill>
      <patternFill patternType="solid">
        <fgColor theme="9"/>
        <bgColor indexed="64"/>
      </patternFill>
    </fill>
    <fill>
      <patternFill patternType="solid">
        <fgColor theme="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rgb="FFC6EFCE"/>
        <bgColor indexed="64"/>
      </patternFill>
    </fill>
    <fill>
      <patternFill patternType="solid">
        <fgColor theme="7" tint="0.799981688894314"/>
        <bgColor indexed="64"/>
      </patternFill>
    </fill>
    <fill>
      <patternFill patternType="solid">
        <fgColor theme="7"/>
        <bgColor indexed="64"/>
      </patternFill>
    </fill>
    <fill>
      <patternFill patternType="solid">
        <fgColor rgb="FFFFEB9C"/>
        <bgColor indexed="64"/>
      </patternFill>
    </fill>
  </fills>
  <borders count="23">
    <border>
      <left/>
      <right/>
      <top/>
      <bottom/>
      <diagonal/>
    </border>
    <border>
      <left style="thin">
        <color auto="1"/>
      </left>
      <right style="thin">
        <color auto="1"/>
      </right>
      <top style="thin">
        <color auto="1"/>
      </top>
      <bottom style="thin">
        <color auto="1"/>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right style="medium">
        <color indexed="8"/>
      </right>
      <top style="thin">
        <color indexed="8"/>
      </top>
      <bottom style="thin">
        <color indexed="8"/>
      </bottom>
      <diagonal/>
    </border>
    <border>
      <left/>
      <right/>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50">
    <xf numFmtId="0" fontId="0" fillId="0" borderId="0">
      <alignment vertical="center"/>
    </xf>
    <xf numFmtId="42" fontId="0" fillId="0" borderId="0" applyFont="0" applyFill="0" applyBorder="0" applyAlignment="0" applyProtection="0">
      <alignment vertical="center"/>
    </xf>
    <xf numFmtId="0" fontId="25" fillId="27" borderId="0" applyNumberFormat="0" applyBorder="0" applyAlignment="0" applyProtection="0">
      <alignment vertical="center"/>
    </xf>
    <xf numFmtId="0" fontId="40" fillId="23"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1" borderId="0" applyNumberFormat="0" applyBorder="0" applyAlignment="0" applyProtection="0">
      <alignment vertical="center"/>
    </xf>
    <xf numFmtId="0" fontId="28" fillId="8" borderId="0" applyNumberFormat="0" applyBorder="0" applyAlignment="0" applyProtection="0">
      <alignment vertical="center"/>
    </xf>
    <xf numFmtId="43" fontId="0" fillId="0" borderId="0" applyFont="0" applyFill="0" applyBorder="0" applyAlignment="0" applyProtection="0">
      <alignment vertical="center"/>
    </xf>
    <xf numFmtId="0" fontId="24" fillId="16"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5" borderId="17" applyNumberFormat="0" applyFont="0" applyAlignment="0" applyProtection="0">
      <alignment vertical="center"/>
    </xf>
    <xf numFmtId="0" fontId="24" fillId="7" borderId="0" applyNumberFormat="0" applyBorder="0" applyAlignment="0" applyProtection="0">
      <alignment vertical="center"/>
    </xf>
    <xf numFmtId="0" fontId="3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15" applyNumberFormat="0" applyFill="0" applyAlignment="0" applyProtection="0">
      <alignment vertical="center"/>
    </xf>
    <xf numFmtId="0" fontId="26" fillId="0" borderId="15" applyNumberFormat="0" applyFill="0" applyAlignment="0" applyProtection="0">
      <alignment vertical="center"/>
    </xf>
    <xf numFmtId="0" fontId="24" fillId="26" borderId="0" applyNumberFormat="0" applyBorder="0" applyAlignment="0" applyProtection="0">
      <alignment vertical="center"/>
    </xf>
    <xf numFmtId="0" fontId="31" fillId="0" borderId="20" applyNumberFormat="0" applyFill="0" applyAlignment="0" applyProtection="0">
      <alignment vertical="center"/>
    </xf>
    <xf numFmtId="0" fontId="24" fillId="14" borderId="0" applyNumberFormat="0" applyBorder="0" applyAlignment="0" applyProtection="0">
      <alignment vertical="center"/>
    </xf>
    <xf numFmtId="0" fontId="36" fillId="19" borderId="19" applyNumberFormat="0" applyAlignment="0" applyProtection="0">
      <alignment vertical="center"/>
    </xf>
    <xf numFmtId="0" fontId="42" fillId="19" borderId="22" applyNumberFormat="0" applyAlignment="0" applyProtection="0">
      <alignment vertical="center"/>
    </xf>
    <xf numFmtId="0" fontId="29" fillId="10" borderId="16" applyNumberFormat="0" applyAlignment="0" applyProtection="0">
      <alignment vertical="center"/>
    </xf>
    <xf numFmtId="0" fontId="25" fillId="22" borderId="0" applyNumberFormat="0" applyBorder="0" applyAlignment="0" applyProtection="0">
      <alignment vertical="center"/>
    </xf>
    <xf numFmtId="0" fontId="24" fillId="21" borderId="0" applyNumberFormat="0" applyBorder="0" applyAlignment="0" applyProtection="0">
      <alignment vertical="center"/>
    </xf>
    <xf numFmtId="0" fontId="39" fillId="0" borderId="21" applyNumberFormat="0" applyFill="0" applyAlignment="0" applyProtection="0">
      <alignment vertical="center"/>
    </xf>
    <xf numFmtId="0" fontId="35" fillId="0" borderId="18" applyNumberFormat="0" applyFill="0" applyAlignment="0" applyProtection="0">
      <alignment vertical="center"/>
    </xf>
    <xf numFmtId="0" fontId="41" fillId="31" borderId="0" applyNumberFormat="0" applyBorder="0" applyAlignment="0" applyProtection="0">
      <alignment vertical="center"/>
    </xf>
    <xf numFmtId="0" fontId="43" fillId="34" borderId="0" applyNumberFormat="0" applyBorder="0" applyAlignment="0" applyProtection="0">
      <alignment vertical="center"/>
    </xf>
    <xf numFmtId="0" fontId="25" fillId="18" borderId="0" applyNumberFormat="0" applyBorder="0" applyAlignment="0" applyProtection="0">
      <alignment vertical="center"/>
    </xf>
    <xf numFmtId="0" fontId="24" fillId="25" borderId="0" applyNumberFormat="0" applyBorder="0" applyAlignment="0" applyProtection="0">
      <alignment vertical="center"/>
    </xf>
    <xf numFmtId="0" fontId="25" fillId="13" borderId="0" applyNumberFormat="0" applyBorder="0" applyAlignment="0" applyProtection="0">
      <alignment vertical="center"/>
    </xf>
    <xf numFmtId="0" fontId="25" fillId="6" borderId="0" applyNumberFormat="0" applyBorder="0" applyAlignment="0" applyProtection="0">
      <alignment vertical="center"/>
    </xf>
    <xf numFmtId="0" fontId="25" fillId="5" borderId="0" applyNumberFormat="0" applyBorder="0" applyAlignment="0" applyProtection="0">
      <alignment vertical="center"/>
    </xf>
    <xf numFmtId="0" fontId="25" fillId="12" borderId="0" applyNumberFormat="0" applyBorder="0" applyAlignment="0" applyProtection="0">
      <alignment vertical="center"/>
    </xf>
    <xf numFmtId="0" fontId="24" fillId="30" borderId="0" applyNumberFormat="0" applyBorder="0" applyAlignment="0" applyProtection="0">
      <alignment vertical="center"/>
    </xf>
    <xf numFmtId="0" fontId="24" fillId="33" borderId="0" applyNumberFormat="0" applyBorder="0" applyAlignment="0" applyProtection="0">
      <alignment vertical="center"/>
    </xf>
    <xf numFmtId="0" fontId="25" fillId="32" borderId="0" applyNumberFormat="0" applyBorder="0" applyAlignment="0" applyProtection="0">
      <alignment vertical="center"/>
    </xf>
    <xf numFmtId="0" fontId="25" fillId="9" borderId="0" applyNumberFormat="0" applyBorder="0" applyAlignment="0" applyProtection="0">
      <alignment vertical="center"/>
    </xf>
    <xf numFmtId="0" fontId="24" fillId="4" borderId="0" applyNumberFormat="0" applyBorder="0" applyAlignment="0" applyProtection="0">
      <alignment vertical="center"/>
    </xf>
    <xf numFmtId="0" fontId="25" fillId="20" borderId="0" applyNumberFormat="0" applyBorder="0" applyAlignment="0" applyProtection="0">
      <alignment vertical="center"/>
    </xf>
    <xf numFmtId="0" fontId="24" fillId="29" borderId="0" applyNumberFormat="0" applyBorder="0" applyAlignment="0" applyProtection="0">
      <alignment vertical="center"/>
    </xf>
    <xf numFmtId="0" fontId="24" fillId="24" borderId="0" applyNumberFormat="0" applyBorder="0" applyAlignment="0" applyProtection="0">
      <alignment vertical="center"/>
    </xf>
    <xf numFmtId="0" fontId="25" fillId="17" borderId="0" applyNumberFormat="0" applyBorder="0" applyAlignment="0" applyProtection="0">
      <alignment vertical="center"/>
    </xf>
    <xf numFmtId="0" fontId="24" fillId="28" borderId="0" applyNumberFormat="0" applyBorder="0" applyAlignment="0" applyProtection="0">
      <alignment vertical="center"/>
    </xf>
    <xf numFmtId="0" fontId="34" fillId="0" borderId="0"/>
  </cellStyleXfs>
  <cellXfs count="11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horizontal="center"/>
    </xf>
    <xf numFmtId="178" fontId="2" fillId="0" borderId="0" xfId="0" applyNumberFormat="1" applyFont="1" applyFill="1" applyBorder="1" applyAlignment="1">
      <alignment horizontal="right"/>
    </xf>
    <xf numFmtId="0" fontId="3" fillId="0" borderId="0" xfId="0" applyFont="1" applyFill="1" applyAlignment="1">
      <alignment horizontal="left" vertical="center"/>
    </xf>
    <xf numFmtId="0" fontId="4" fillId="0" borderId="0" xfId="0" applyNumberFormat="1" applyFont="1" applyFill="1" applyBorder="1" applyAlignment="1" applyProtection="1">
      <alignment horizontal="center" vertical="center" wrapText="1" readingOrder="1"/>
    </xf>
    <xf numFmtId="0" fontId="5" fillId="0" borderId="0" xfId="0" applyNumberFormat="1" applyFont="1" applyFill="1" applyBorder="1" applyAlignment="1" applyProtection="1">
      <alignment horizontal="center" vertical="center" wrapText="1" readingOrder="1"/>
    </xf>
    <xf numFmtId="178" fontId="5" fillId="0" borderId="0" xfId="0" applyNumberFormat="1" applyFont="1" applyFill="1" applyBorder="1" applyAlignment="1" applyProtection="1">
      <alignment horizontal="right" vertical="center" wrapText="1" readingOrder="1"/>
    </xf>
    <xf numFmtId="0" fontId="6" fillId="0" borderId="0" xfId="0" applyNumberFormat="1" applyFont="1" applyFill="1" applyBorder="1" applyAlignment="1" applyProtection="1">
      <alignment horizontal="left" vertical="center" wrapText="1" readingOrder="1"/>
    </xf>
    <xf numFmtId="178" fontId="6" fillId="0" borderId="0" xfId="0" applyNumberFormat="1" applyFont="1" applyFill="1" applyBorder="1" applyAlignment="1" applyProtection="1">
      <alignment horizontal="right" vertical="center" wrapText="1" readingOrder="1"/>
    </xf>
    <xf numFmtId="0" fontId="6" fillId="0" borderId="1" xfId="0" applyNumberFormat="1" applyFont="1" applyFill="1" applyBorder="1" applyAlignment="1" applyProtection="1">
      <alignment horizontal="center" vertical="center" wrapText="1" readingOrder="1"/>
    </xf>
    <xf numFmtId="178" fontId="6" fillId="0" borderId="1" xfId="0" applyNumberFormat="1" applyFont="1" applyFill="1" applyBorder="1" applyAlignment="1" applyProtection="1">
      <alignment horizontal="center" vertical="center" wrapText="1" readingOrder="1"/>
    </xf>
    <xf numFmtId="0" fontId="7" fillId="0" borderId="2" xfId="0" applyNumberFormat="1" applyFont="1" applyFill="1" applyBorder="1" applyAlignment="1" applyProtection="1">
      <alignment horizontal="center" vertical="center" wrapText="1" readingOrder="1"/>
    </xf>
    <xf numFmtId="0" fontId="7" fillId="0" borderId="3" xfId="0" applyNumberFormat="1" applyFont="1" applyFill="1" applyBorder="1" applyAlignment="1" applyProtection="1">
      <alignment horizontal="left" vertical="center" wrapText="1" readingOrder="1"/>
    </xf>
    <xf numFmtId="0" fontId="7" fillId="0" borderId="3" xfId="0" applyNumberFormat="1" applyFont="1" applyFill="1" applyBorder="1" applyAlignment="1" applyProtection="1">
      <alignment horizontal="center" vertical="center" wrapText="1" readingOrder="1"/>
    </xf>
    <xf numFmtId="0" fontId="7" fillId="0" borderId="4" xfId="0" applyNumberFormat="1" applyFont="1" applyFill="1" applyBorder="1" applyAlignment="1" applyProtection="1">
      <alignment horizontal="center" vertical="center" wrapText="1" readingOrder="1"/>
    </xf>
    <xf numFmtId="0" fontId="7" fillId="0" borderId="1" xfId="0" applyNumberFormat="1" applyFont="1" applyFill="1" applyBorder="1" applyAlignment="1" applyProtection="1">
      <alignment horizontal="center" vertical="center" wrapText="1" readingOrder="1"/>
    </xf>
    <xf numFmtId="0" fontId="7" fillId="0" borderId="5" xfId="0" applyNumberFormat="1" applyFont="1" applyFill="1" applyBorder="1" applyAlignment="1" applyProtection="1">
      <alignment horizontal="center" vertical="center" wrapText="1" readingOrder="1"/>
    </xf>
    <xf numFmtId="0" fontId="8" fillId="0" borderId="6" xfId="0" applyNumberFormat="1" applyFont="1" applyFill="1" applyBorder="1" applyAlignment="1" applyProtection="1">
      <alignment horizontal="center" vertical="center" wrapText="1" readingOrder="1"/>
    </xf>
    <xf numFmtId="0" fontId="3" fillId="0" borderId="1" xfId="0" applyFont="1" applyFill="1" applyBorder="1" applyAlignment="1">
      <alignment vertical="center"/>
    </xf>
    <xf numFmtId="0" fontId="8" fillId="0" borderId="7" xfId="0" applyNumberFormat="1" applyFont="1" applyFill="1" applyBorder="1" applyAlignment="1" applyProtection="1">
      <alignment horizontal="center" vertical="center" wrapText="1" readingOrder="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shrinkToFit="1"/>
    </xf>
    <xf numFmtId="0" fontId="8" fillId="0" borderId="8" xfId="0" applyNumberFormat="1" applyFont="1" applyFill="1" applyBorder="1" applyAlignment="1" applyProtection="1">
      <alignment horizontal="center" vertical="center" wrapText="1" readingOrder="1"/>
    </xf>
    <xf numFmtId="0" fontId="9" fillId="0" borderId="0" xfId="0" applyFont="1" applyFill="1" applyBorder="1" applyAlignment="1">
      <alignment horizontal="center" wrapText="1"/>
    </xf>
    <xf numFmtId="0" fontId="2" fillId="0" borderId="0" xfId="0" applyFont="1" applyFill="1" applyBorder="1" applyAlignment="1">
      <alignment horizontal="center" wrapText="1"/>
    </xf>
    <xf numFmtId="0" fontId="8" fillId="0" borderId="9" xfId="0" applyNumberFormat="1" applyFont="1" applyFill="1" applyBorder="1" applyAlignment="1" applyProtection="1">
      <alignment horizontal="center" vertical="center" wrapText="1" readingOrder="1"/>
    </xf>
    <xf numFmtId="0" fontId="3" fillId="0" borderId="10" xfId="0" applyFont="1" applyFill="1" applyBorder="1" applyAlignment="1" applyProtection="1">
      <alignment vertical="center"/>
      <protection locked="0"/>
    </xf>
    <xf numFmtId="0" fontId="8" fillId="0" borderId="11" xfId="0" applyNumberFormat="1" applyFont="1" applyFill="1" applyBorder="1" applyAlignment="1" applyProtection="1">
      <alignment horizontal="center" vertical="center" wrapText="1" readingOrder="1"/>
    </xf>
    <xf numFmtId="0" fontId="3" fillId="0" borderId="10" xfId="0" applyFont="1" applyFill="1" applyBorder="1" applyAlignment="1" applyProtection="1">
      <alignment horizontal="center" vertical="center"/>
      <protection locked="0"/>
    </xf>
    <xf numFmtId="0" fontId="8" fillId="0" borderId="11" xfId="0" applyNumberFormat="1" applyFont="1" applyFill="1" applyBorder="1" applyAlignment="1" applyProtection="1">
      <alignment horizontal="right" vertical="center" wrapText="1" readingOrder="1"/>
    </xf>
    <xf numFmtId="0" fontId="8" fillId="0" borderId="12" xfId="0" applyNumberFormat="1" applyFont="1" applyFill="1" applyBorder="1" applyAlignment="1" applyProtection="1">
      <alignment horizontal="center" vertical="center" wrapText="1" readingOrder="1"/>
    </xf>
    <xf numFmtId="0" fontId="8" fillId="0" borderId="1" xfId="0" applyNumberFormat="1" applyFont="1" applyFill="1" applyBorder="1" applyAlignment="1" applyProtection="1">
      <alignment horizontal="center" vertical="center" wrapText="1" readingOrder="1"/>
    </xf>
    <xf numFmtId="0" fontId="3" fillId="0" borderId="1" xfId="0" applyFont="1" applyFill="1" applyBorder="1" applyAlignment="1" applyProtection="1">
      <alignment vertical="center"/>
      <protection locked="0"/>
    </xf>
    <xf numFmtId="0" fontId="3" fillId="0" borderId="1" xfId="0"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right" vertical="center" wrapText="1" readingOrder="1"/>
    </xf>
    <xf numFmtId="0" fontId="9" fillId="0" borderId="1" xfId="0" applyNumberFormat="1" applyFont="1" applyFill="1" applyBorder="1" applyAlignment="1" applyProtection="1">
      <alignment horizontal="center" vertical="center" wrapText="1" readingOrder="1"/>
    </xf>
    <xf numFmtId="0" fontId="9" fillId="0" borderId="1" xfId="0" applyNumberFormat="1" applyFont="1" applyFill="1" applyBorder="1" applyAlignment="1" applyProtection="1">
      <alignment horizontal="left" vertical="center" wrapText="1" readingOrder="1"/>
    </xf>
    <xf numFmtId="178" fontId="9" fillId="0" borderId="1" xfId="0" applyNumberFormat="1" applyFont="1" applyFill="1" applyBorder="1" applyAlignment="1" applyProtection="1">
      <alignment horizontal="right" vertical="center" wrapText="1" readingOrder="1"/>
    </xf>
    <xf numFmtId="0" fontId="10" fillId="0" borderId="1" xfId="0" applyNumberFormat="1" applyFont="1" applyFill="1" applyBorder="1" applyAlignment="1" applyProtection="1">
      <alignment horizontal="center" vertical="center" wrapText="1" readingOrder="1"/>
    </xf>
    <xf numFmtId="0" fontId="9" fillId="0" borderId="1" xfId="0" applyNumberFormat="1" applyFont="1" applyFill="1" applyBorder="1" applyAlignment="1" applyProtection="1">
      <alignment vertical="center" wrapText="1" readingOrder="1"/>
    </xf>
    <xf numFmtId="0" fontId="2" fillId="0" borderId="1" xfId="0" applyFont="1" applyFill="1" applyBorder="1" applyAlignment="1">
      <alignment horizontal="center"/>
    </xf>
    <xf numFmtId="176" fontId="9" fillId="0" borderId="1" xfId="0" applyNumberFormat="1" applyFont="1" applyFill="1" applyBorder="1" applyAlignment="1">
      <alignment vertical="center" wrapText="1"/>
    </xf>
    <xf numFmtId="0" fontId="11" fillId="0" borderId="1"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justify" vertical="center" wrapText="1"/>
    </xf>
    <xf numFmtId="0" fontId="11" fillId="0" borderId="1" xfId="0" applyNumberFormat="1" applyFont="1" applyFill="1" applyBorder="1" applyAlignment="1" applyProtection="1">
      <alignment horizontal="right" vertical="center" wrapText="1"/>
    </xf>
    <xf numFmtId="0" fontId="8" fillId="0" borderId="13" xfId="0" applyNumberFormat="1" applyFont="1" applyFill="1" applyBorder="1" applyAlignment="1" applyProtection="1">
      <alignment horizontal="center" vertical="center" wrapText="1" readingOrder="1"/>
    </xf>
    <xf numFmtId="176" fontId="2" fillId="0" borderId="1" xfId="0" applyNumberFormat="1" applyFont="1" applyFill="1" applyBorder="1" applyAlignment="1">
      <alignment horizontal="right"/>
    </xf>
    <xf numFmtId="0" fontId="12" fillId="0" borderId="1" xfId="0" applyNumberFormat="1" applyFont="1" applyFill="1" applyBorder="1" applyAlignment="1" applyProtection="1">
      <alignment horizontal="justify" vertical="center" wrapText="1"/>
    </xf>
    <xf numFmtId="0" fontId="8" fillId="0" borderId="1" xfId="0" applyNumberFormat="1" applyFont="1" applyFill="1" applyBorder="1" applyAlignment="1" applyProtection="1">
      <alignment horizontal="left" vertical="center" wrapText="1" readingOrder="1"/>
    </xf>
    <xf numFmtId="178" fontId="8" fillId="0" borderId="1" xfId="0" applyNumberFormat="1" applyFont="1" applyFill="1" applyBorder="1" applyAlignment="1" applyProtection="1">
      <alignment horizontal="right" vertical="center" wrapText="1" readingOrder="1"/>
    </xf>
    <xf numFmtId="0" fontId="13" fillId="0" borderId="0" xfId="0" applyFont="1" applyFill="1" applyBorder="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3" fillId="0" borderId="0" xfId="0" applyFont="1" applyFill="1" applyBorder="1" applyAlignment="1">
      <alignment vertical="center"/>
    </xf>
    <xf numFmtId="0" fontId="15" fillId="0" borderId="0"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178" fontId="13" fillId="0" borderId="0" xfId="0" applyNumberFormat="1" applyFont="1" applyFill="1" applyBorder="1" applyAlignment="1">
      <alignment horizontal="right" vertical="center"/>
    </xf>
    <xf numFmtId="177" fontId="13" fillId="0" borderId="0" xfId="0" applyNumberFormat="1" applyFont="1" applyFill="1" applyBorder="1" applyAlignment="1">
      <alignment horizontal="right" vertical="center"/>
    </xf>
    <xf numFmtId="0" fontId="16"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178" fontId="17" fillId="0" borderId="0" xfId="0" applyNumberFormat="1" applyFont="1" applyFill="1" applyBorder="1" applyAlignment="1">
      <alignment horizontal="center" vertical="center"/>
    </xf>
    <xf numFmtId="0" fontId="14" fillId="0" borderId="1" xfId="0" applyFont="1" applyFill="1" applyBorder="1" applyAlignment="1">
      <alignment horizontal="center" vertical="center"/>
    </xf>
    <xf numFmtId="178" fontId="14" fillId="0" borderId="1" xfId="0" applyNumberFormat="1" applyFont="1" applyFill="1" applyBorder="1" applyAlignment="1">
      <alignment horizontal="center" vertical="center"/>
    </xf>
    <xf numFmtId="177" fontId="14"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178" fontId="14" fillId="0" borderId="1" xfId="0" applyNumberFormat="1" applyFont="1" applyFill="1" applyBorder="1" applyAlignment="1">
      <alignment horizontal="righ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178" fontId="13" fillId="0" borderId="1" xfId="0" applyNumberFormat="1" applyFont="1" applyFill="1" applyBorder="1" applyAlignment="1">
      <alignment horizontal="right" vertical="center"/>
    </xf>
    <xf numFmtId="176" fontId="13" fillId="0" borderId="1" xfId="0" applyNumberFormat="1" applyFont="1" applyFill="1" applyBorder="1" applyAlignment="1">
      <alignment horizontal="left" vertical="center" wrapText="1"/>
    </xf>
    <xf numFmtId="178" fontId="13" fillId="2" borderId="1" xfId="0" applyNumberFormat="1" applyFont="1" applyFill="1" applyBorder="1" applyAlignment="1">
      <alignment horizontal="right" vertical="center"/>
    </xf>
    <xf numFmtId="178" fontId="13" fillId="0" borderId="1" xfId="0" applyNumberFormat="1" applyFont="1" applyFill="1" applyBorder="1" applyAlignment="1">
      <alignment horizontal="right" vertical="center" wrapText="1"/>
    </xf>
    <xf numFmtId="176" fontId="14" fillId="0" borderId="1" xfId="0" applyNumberFormat="1" applyFont="1" applyFill="1" applyBorder="1" applyAlignment="1">
      <alignment horizontal="center" vertical="center" wrapText="1"/>
    </xf>
    <xf numFmtId="178" fontId="14" fillId="2" borderId="1" xfId="0" applyNumberFormat="1" applyFont="1" applyFill="1" applyBorder="1" applyAlignment="1">
      <alignment horizontal="right" vertical="center"/>
    </xf>
    <xf numFmtId="0" fontId="13" fillId="0" borderId="1" xfId="49" applyFont="1" applyFill="1" applyBorder="1" applyAlignment="1">
      <alignment horizontal="left" vertical="center" wrapText="1"/>
    </xf>
    <xf numFmtId="0" fontId="13" fillId="0" borderId="1" xfId="49" applyFont="1" applyFill="1" applyBorder="1" applyAlignment="1">
      <alignment horizontal="center" vertical="center" wrapText="1"/>
    </xf>
    <xf numFmtId="178" fontId="13" fillId="0" borderId="1" xfId="49" applyNumberFormat="1" applyFont="1" applyFill="1" applyBorder="1" applyAlignment="1">
      <alignment horizontal="right" vertical="center" wrapText="1"/>
    </xf>
    <xf numFmtId="178" fontId="13" fillId="3" borderId="1" xfId="49" applyNumberFormat="1" applyFont="1" applyFill="1" applyBorder="1" applyAlignment="1">
      <alignment horizontal="right" vertical="center" wrapText="1"/>
    </xf>
    <xf numFmtId="0" fontId="14" fillId="0" borderId="1" xfId="0" applyFont="1" applyFill="1" applyBorder="1" applyAlignment="1">
      <alignment vertical="center" wrapText="1"/>
    </xf>
    <xf numFmtId="178" fontId="18" fillId="2" borderId="1" xfId="49" applyNumberFormat="1" applyFont="1" applyFill="1" applyBorder="1" applyAlignment="1">
      <alignment horizontal="right" vertical="center"/>
    </xf>
    <xf numFmtId="178" fontId="0" fillId="2" borderId="1" xfId="49" applyNumberFormat="1" applyFont="1" applyFill="1" applyBorder="1" applyAlignment="1">
      <alignment horizontal="right" vertical="center"/>
    </xf>
    <xf numFmtId="178" fontId="14" fillId="0" borderId="1" xfId="0" applyNumberFormat="1" applyFont="1" applyFill="1" applyBorder="1" applyAlignment="1">
      <alignment horizontal="right" vertical="center" wrapText="1"/>
    </xf>
    <xf numFmtId="178" fontId="14" fillId="0" borderId="1" xfId="49" applyNumberFormat="1" applyFont="1" applyFill="1" applyBorder="1" applyAlignment="1">
      <alignment horizontal="right" vertical="center" wrapText="1"/>
    </xf>
    <xf numFmtId="178" fontId="14" fillId="3" borderId="1" xfId="49" applyNumberFormat="1" applyFont="1" applyFill="1" applyBorder="1" applyAlignment="1">
      <alignment horizontal="right" vertical="center" wrapText="1"/>
    </xf>
    <xf numFmtId="0" fontId="14" fillId="0" borderId="1" xfId="49" applyFont="1" applyFill="1" applyBorder="1" applyAlignment="1">
      <alignment horizontal="center" vertical="center" wrapText="1"/>
    </xf>
    <xf numFmtId="0" fontId="14" fillId="0" borderId="1" xfId="49" applyFont="1" applyFill="1" applyBorder="1" applyAlignment="1">
      <alignment horizontal="left" vertical="center" wrapText="1"/>
    </xf>
    <xf numFmtId="178" fontId="14" fillId="2" borderId="1" xfId="0" applyNumberFormat="1" applyFont="1" applyFill="1" applyBorder="1" applyAlignment="1">
      <alignment horizontal="right" vertical="center" wrapText="1"/>
    </xf>
    <xf numFmtId="10" fontId="13" fillId="0" borderId="1" xfId="0" applyNumberFormat="1" applyFont="1" applyFill="1" applyBorder="1" applyAlignment="1">
      <alignment horizontal="right" vertical="center"/>
    </xf>
    <xf numFmtId="10" fontId="14" fillId="0" borderId="1" xfId="0" applyNumberFormat="1" applyFont="1" applyFill="1" applyBorder="1" applyAlignment="1">
      <alignment horizontal="right" vertical="center"/>
    </xf>
    <xf numFmtId="10" fontId="14" fillId="0" borderId="1" xfId="0" applyNumberFormat="1" applyFont="1" applyFill="1" applyBorder="1" applyAlignment="1">
      <alignment horizontal="right" vertical="center" wrapText="1"/>
    </xf>
    <xf numFmtId="0" fontId="14" fillId="0" borderId="1" xfId="0" applyFont="1" applyFill="1" applyBorder="1" applyAlignment="1">
      <alignment horizontal="right" vertical="center" wrapText="1"/>
    </xf>
    <xf numFmtId="0" fontId="14" fillId="0" borderId="1" xfId="0" applyFont="1" applyFill="1" applyBorder="1" applyAlignment="1">
      <alignment vertical="center"/>
    </xf>
    <xf numFmtId="0" fontId="14"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right" vertical="center" wrapText="1"/>
    </xf>
    <xf numFmtId="0" fontId="20" fillId="0" borderId="0" xfId="0" applyFont="1" applyFill="1" applyAlignment="1">
      <alignment horizontal="center" vertical="center" wrapText="1"/>
    </xf>
    <xf numFmtId="0" fontId="21" fillId="0" borderId="0" xfId="0" applyFont="1" applyFill="1" applyAlignment="1">
      <alignment horizontal="center" vertical="center" wrapText="1"/>
    </xf>
    <xf numFmtId="0" fontId="22" fillId="0" borderId="0" xfId="0" applyFont="1" applyFill="1" applyAlignment="1">
      <alignment horizontal="center" vertical="center" wrapText="1"/>
    </xf>
    <xf numFmtId="0" fontId="23" fillId="0" borderId="0" xfId="0" applyFont="1" applyFill="1" applyAlignment="1">
      <alignment horizontal="left" wrapText="1"/>
    </xf>
    <xf numFmtId="0" fontId="23" fillId="0" borderId="0" xfId="0" applyFont="1" applyFill="1" applyAlignment="1">
      <alignment wrapText="1"/>
    </xf>
    <xf numFmtId="176" fontId="23" fillId="0" borderId="14" xfId="0" applyNumberFormat="1" applyFont="1" applyFill="1" applyBorder="1" applyAlignment="1">
      <alignment horizontal="left" wrapText="1"/>
    </xf>
    <xf numFmtId="0" fontId="23" fillId="0" borderId="0" xfId="0" applyFont="1" applyFill="1" applyBorder="1" applyAlignment="1">
      <alignment horizontal="right" wrapText="1"/>
    </xf>
    <xf numFmtId="179" fontId="23" fillId="0" borderId="0" xfId="0" applyNumberFormat="1" applyFont="1" applyFill="1" applyBorder="1" applyAlignment="1">
      <alignment wrapText="1"/>
    </xf>
    <xf numFmtId="179" fontId="23" fillId="0" borderId="14" xfId="0" applyNumberFormat="1" applyFont="1" applyFill="1" applyBorder="1" applyAlignment="1">
      <alignment horizontal="left" wrapText="1"/>
    </xf>
    <xf numFmtId="0" fontId="23" fillId="0" borderId="0" xfId="0" applyFont="1" applyFill="1" applyBorder="1" applyAlignment="1">
      <alignment wrapText="1"/>
    </xf>
    <xf numFmtId="0" fontId="23" fillId="0" borderId="0" xfId="0" applyFont="1" applyFill="1" applyBorder="1" applyAlignment="1">
      <alignment horizontal="center" wrapText="1"/>
    </xf>
    <xf numFmtId="0" fontId="23" fillId="0" borderId="0" xfId="0" applyFont="1" applyFill="1" applyBorder="1" applyAlignment="1">
      <alignment horizontal="left" wrapText="1"/>
    </xf>
    <xf numFmtId="0" fontId="23" fillId="0" borderId="0" xfId="0" applyFont="1" applyFill="1" applyBorder="1" applyAlignment="1">
      <alignment horizontal="center" vertical="center" wrapText="1"/>
    </xf>
    <xf numFmtId="0" fontId="23" fillId="0" borderId="14" xfId="0" applyFont="1" applyFill="1" applyBorder="1" applyAlignment="1">
      <alignment horizontal="left" wrapText="1"/>
    </xf>
    <xf numFmtId="0" fontId="23" fillId="0" borderId="0" xfId="0" applyFont="1" applyFill="1" applyBorder="1" applyAlignment="1">
      <alignment horizontal="right" vertical="center" wrapText="1"/>
    </xf>
    <xf numFmtId="178" fontId="18" fillId="0" borderId="1" xfId="49" applyNumberFormat="1" applyFont="1" applyFill="1" applyBorder="1" applyAlignment="1">
      <alignment horizontal="right" vertical="center"/>
    </xf>
    <xf numFmtId="178" fontId="0" fillId="0" borderId="1" xfId="49"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9"/>
  <sheetViews>
    <sheetView topLeftCell="A88" workbookViewId="0">
      <selection activeCell="G89" sqref="G89"/>
    </sheetView>
  </sheetViews>
  <sheetFormatPr defaultColWidth="9" defaultRowHeight="15" customHeight="1" outlineLevelCol="7"/>
  <cols>
    <col min="1" max="1" width="8.625" style="57" customWidth="1"/>
    <col min="2" max="2" width="21" style="58" customWidth="1"/>
    <col min="3" max="3" width="35.625" style="52" customWidth="1"/>
    <col min="4" max="4" width="6.625" style="57" customWidth="1"/>
    <col min="5" max="5" width="15.625" style="59" customWidth="1"/>
    <col min="6" max="7" width="15.625" style="60" customWidth="1"/>
    <col min="8" max="8" width="28.5" style="52" customWidth="1"/>
    <col min="9" max="16384" width="9" style="52"/>
  </cols>
  <sheetData>
    <row r="1" s="52" customFormat="1" ht="60" customHeight="1" spans="1:8">
      <c r="A1" s="61" t="s">
        <v>0</v>
      </c>
      <c r="B1" s="62"/>
      <c r="C1" s="62"/>
      <c r="D1" s="62"/>
      <c r="E1" s="63"/>
      <c r="F1" s="62"/>
      <c r="G1" s="62"/>
      <c r="H1" s="62"/>
    </row>
    <row r="2" s="53" customFormat="1" ht="27" spans="1:8">
      <c r="A2" s="64" t="s">
        <v>1</v>
      </c>
      <c r="B2" s="64" t="s">
        <v>2</v>
      </c>
      <c r="C2" s="64" t="s">
        <v>3</v>
      </c>
      <c r="D2" s="64" t="s">
        <v>4</v>
      </c>
      <c r="E2" s="65" t="s">
        <v>5</v>
      </c>
      <c r="F2" s="66" t="s">
        <v>6</v>
      </c>
      <c r="G2" s="67" t="s">
        <v>7</v>
      </c>
      <c r="H2" s="68" t="s">
        <v>8</v>
      </c>
    </row>
    <row r="3" s="53" customFormat="1" ht="13.5" spans="1:8">
      <c r="A3" s="64" t="s">
        <v>9</v>
      </c>
      <c r="B3" s="64" t="s">
        <v>10</v>
      </c>
      <c r="C3" s="64"/>
      <c r="D3" s="64"/>
      <c r="E3" s="69"/>
      <c r="F3" s="69"/>
      <c r="G3" s="69">
        <f>SUM(G4:G12)</f>
        <v>0</v>
      </c>
      <c r="H3" s="68"/>
    </row>
    <row r="4" s="53" customFormat="1" ht="54" spans="1:8">
      <c r="A4" s="70">
        <v>1</v>
      </c>
      <c r="B4" s="71" t="s">
        <v>11</v>
      </c>
      <c r="C4" s="72" t="s">
        <v>12</v>
      </c>
      <c r="D4" s="73" t="s">
        <v>13</v>
      </c>
      <c r="E4" s="74">
        <v>120</v>
      </c>
      <c r="F4" s="74"/>
      <c r="G4" s="74">
        <f t="shared" ref="G4:G12" si="0">E4*F4</f>
        <v>0</v>
      </c>
      <c r="H4" s="72" t="s">
        <v>14</v>
      </c>
    </row>
    <row r="5" s="53" customFormat="1" ht="54" spans="1:8">
      <c r="A5" s="70">
        <v>2</v>
      </c>
      <c r="B5" s="71" t="s">
        <v>15</v>
      </c>
      <c r="C5" s="72" t="s">
        <v>16</v>
      </c>
      <c r="D5" s="73" t="s">
        <v>13</v>
      </c>
      <c r="E5" s="74">
        <v>120</v>
      </c>
      <c r="F5" s="74"/>
      <c r="G5" s="74">
        <f t="shared" si="0"/>
        <v>0</v>
      </c>
      <c r="H5" s="72" t="s">
        <v>14</v>
      </c>
    </row>
    <row r="6" s="53" customFormat="1" ht="54" spans="1:8">
      <c r="A6" s="70">
        <v>3</v>
      </c>
      <c r="B6" s="75" t="s">
        <v>17</v>
      </c>
      <c r="C6" s="71" t="s">
        <v>18</v>
      </c>
      <c r="D6" s="70" t="s">
        <v>19</v>
      </c>
      <c r="E6" s="74">
        <v>30</v>
      </c>
      <c r="F6" s="74"/>
      <c r="G6" s="74">
        <f t="shared" si="0"/>
        <v>0</v>
      </c>
      <c r="H6" s="71" t="s">
        <v>20</v>
      </c>
    </row>
    <row r="7" s="53" customFormat="1" ht="40.5" spans="1:8">
      <c r="A7" s="70">
        <v>4</v>
      </c>
      <c r="B7" s="75" t="s">
        <v>21</v>
      </c>
      <c r="C7" s="71" t="s">
        <v>22</v>
      </c>
      <c r="D7" s="73" t="s">
        <v>13</v>
      </c>
      <c r="E7" s="74">
        <v>26</v>
      </c>
      <c r="F7" s="74"/>
      <c r="G7" s="74">
        <f t="shared" si="0"/>
        <v>0</v>
      </c>
      <c r="H7" s="71" t="s">
        <v>20</v>
      </c>
    </row>
    <row r="8" s="53" customFormat="1" ht="67.5" spans="1:8">
      <c r="A8" s="70">
        <v>5</v>
      </c>
      <c r="B8" s="75" t="s">
        <v>23</v>
      </c>
      <c r="C8" s="71" t="s">
        <v>24</v>
      </c>
      <c r="D8" s="70" t="s">
        <v>19</v>
      </c>
      <c r="E8" s="74">
        <v>12</v>
      </c>
      <c r="F8" s="74"/>
      <c r="G8" s="74">
        <f t="shared" si="0"/>
        <v>0</v>
      </c>
      <c r="H8" s="71" t="s">
        <v>20</v>
      </c>
    </row>
    <row r="9" s="53" customFormat="1" ht="40.5" spans="1:8">
      <c r="A9" s="70">
        <v>6</v>
      </c>
      <c r="B9" s="75" t="s">
        <v>25</v>
      </c>
      <c r="C9" s="71" t="s">
        <v>26</v>
      </c>
      <c r="D9" s="73" t="s">
        <v>13</v>
      </c>
      <c r="E9" s="74">
        <v>22</v>
      </c>
      <c r="F9" s="74"/>
      <c r="G9" s="74">
        <f t="shared" si="0"/>
        <v>0</v>
      </c>
      <c r="H9" s="71" t="s">
        <v>20</v>
      </c>
    </row>
    <row r="10" s="53" customFormat="1" ht="40.5" spans="1:8">
      <c r="A10" s="70">
        <v>7</v>
      </c>
      <c r="B10" s="75" t="s">
        <v>27</v>
      </c>
      <c r="C10" s="71" t="s">
        <v>28</v>
      </c>
      <c r="D10" s="73" t="s">
        <v>13</v>
      </c>
      <c r="E10" s="74">
        <v>120</v>
      </c>
      <c r="F10" s="74"/>
      <c r="G10" s="74">
        <f t="shared" si="0"/>
        <v>0</v>
      </c>
      <c r="H10" s="71" t="s">
        <v>20</v>
      </c>
    </row>
    <row r="11" s="53" customFormat="1" ht="27" spans="1:8">
      <c r="A11" s="70">
        <v>8</v>
      </c>
      <c r="B11" s="71" t="s">
        <v>29</v>
      </c>
      <c r="C11" s="72" t="s">
        <v>30</v>
      </c>
      <c r="D11" s="73" t="s">
        <v>13</v>
      </c>
      <c r="E11" s="77">
        <v>120</v>
      </c>
      <c r="F11" s="74"/>
      <c r="G11" s="74">
        <f t="shared" si="0"/>
        <v>0</v>
      </c>
      <c r="H11" s="71" t="s">
        <v>20</v>
      </c>
    </row>
    <row r="12" s="53" customFormat="1" ht="27" spans="1:8">
      <c r="A12" s="70">
        <v>9</v>
      </c>
      <c r="B12" s="75" t="s">
        <v>31</v>
      </c>
      <c r="C12" s="71" t="s">
        <v>32</v>
      </c>
      <c r="D12" s="70" t="s">
        <v>33</v>
      </c>
      <c r="E12" s="74">
        <v>1</v>
      </c>
      <c r="F12" s="74"/>
      <c r="G12" s="74">
        <f t="shared" si="0"/>
        <v>0</v>
      </c>
      <c r="H12" s="71" t="s">
        <v>20</v>
      </c>
    </row>
    <row r="13" s="53" customFormat="1" ht="13.5" spans="1:8">
      <c r="A13" s="64" t="s">
        <v>34</v>
      </c>
      <c r="B13" s="78" t="s">
        <v>35</v>
      </c>
      <c r="C13" s="68"/>
      <c r="D13" s="64"/>
      <c r="E13" s="69"/>
      <c r="F13" s="69"/>
      <c r="G13" s="69">
        <f>G14+G22+G30+G38+G45+G52+G56+G64+G70+G74+G78+G85</f>
        <v>0</v>
      </c>
      <c r="H13" s="68"/>
    </row>
    <row r="14" s="53" customFormat="1" ht="13.5" spans="1:8">
      <c r="A14" s="64" t="s">
        <v>36</v>
      </c>
      <c r="B14" s="64" t="s">
        <v>37</v>
      </c>
      <c r="C14" s="64"/>
      <c r="D14" s="64"/>
      <c r="E14" s="69"/>
      <c r="F14" s="69"/>
      <c r="G14" s="69">
        <f>SUM(G15:G21)</f>
        <v>0</v>
      </c>
      <c r="H14" s="68"/>
    </row>
    <row r="15" s="52" customFormat="1" ht="108" customHeight="1" spans="1:8">
      <c r="A15" s="70">
        <v>1</v>
      </c>
      <c r="B15" s="80" t="s">
        <v>38</v>
      </c>
      <c r="C15" s="80" t="s">
        <v>39</v>
      </c>
      <c r="D15" s="81" t="s">
        <v>19</v>
      </c>
      <c r="E15" s="82">
        <v>3890</v>
      </c>
      <c r="F15" s="82"/>
      <c r="G15" s="74">
        <f t="shared" ref="G15:G21" si="1">E15*F15</f>
        <v>0</v>
      </c>
      <c r="H15" s="72" t="s">
        <v>40</v>
      </c>
    </row>
    <row r="16" s="52" customFormat="1" ht="94.5" spans="1:8">
      <c r="A16" s="70">
        <v>2</v>
      </c>
      <c r="B16" s="80" t="s">
        <v>41</v>
      </c>
      <c r="C16" s="80" t="s">
        <v>42</v>
      </c>
      <c r="D16" s="81" t="s">
        <v>19</v>
      </c>
      <c r="E16" s="82">
        <v>1009.8</v>
      </c>
      <c r="F16" s="82"/>
      <c r="G16" s="74">
        <f t="shared" si="1"/>
        <v>0</v>
      </c>
      <c r="H16" s="72" t="s">
        <v>40</v>
      </c>
    </row>
    <row r="17" s="53" customFormat="1" ht="108" spans="1:8">
      <c r="A17" s="70">
        <v>3</v>
      </c>
      <c r="B17" s="80" t="s">
        <v>43</v>
      </c>
      <c r="C17" s="80" t="s">
        <v>44</v>
      </c>
      <c r="D17" s="81" t="s">
        <v>19</v>
      </c>
      <c r="E17" s="82">
        <v>875.16</v>
      </c>
      <c r="F17" s="82"/>
      <c r="G17" s="74">
        <f t="shared" si="1"/>
        <v>0</v>
      </c>
      <c r="H17" s="72" t="s">
        <v>40</v>
      </c>
    </row>
    <row r="18" s="52" customFormat="1" ht="108" spans="1:8">
      <c r="A18" s="70">
        <v>4</v>
      </c>
      <c r="B18" s="80" t="s">
        <v>45</v>
      </c>
      <c r="C18" s="80" t="s">
        <v>46</v>
      </c>
      <c r="D18" s="81" t="s">
        <v>19</v>
      </c>
      <c r="E18" s="82">
        <v>5</v>
      </c>
      <c r="F18" s="82"/>
      <c r="G18" s="74">
        <f t="shared" si="1"/>
        <v>0</v>
      </c>
      <c r="H18" s="72" t="s">
        <v>40</v>
      </c>
    </row>
    <row r="19" s="52" customFormat="1" ht="81" customHeight="1" spans="1:8">
      <c r="A19" s="70">
        <v>5</v>
      </c>
      <c r="B19" s="80" t="s">
        <v>47</v>
      </c>
      <c r="C19" s="80" t="s">
        <v>48</v>
      </c>
      <c r="D19" s="81" t="s">
        <v>19</v>
      </c>
      <c r="E19" s="82">
        <v>7584.96</v>
      </c>
      <c r="F19" s="82"/>
      <c r="G19" s="74">
        <f t="shared" si="1"/>
        <v>0</v>
      </c>
      <c r="H19" s="72" t="s">
        <v>40</v>
      </c>
    </row>
    <row r="20" s="52" customFormat="1" ht="162" spans="1:8">
      <c r="A20" s="70">
        <v>6</v>
      </c>
      <c r="B20" s="80" t="s">
        <v>49</v>
      </c>
      <c r="C20" s="80" t="s">
        <v>50</v>
      </c>
      <c r="D20" s="81" t="s">
        <v>19</v>
      </c>
      <c r="E20" s="82">
        <v>7584.96</v>
      </c>
      <c r="F20" s="82"/>
      <c r="G20" s="74">
        <f t="shared" si="1"/>
        <v>0</v>
      </c>
      <c r="H20" s="72" t="s">
        <v>40</v>
      </c>
    </row>
    <row r="21" s="52" customFormat="1" ht="121.5" spans="1:8">
      <c r="A21" s="70">
        <v>7</v>
      </c>
      <c r="B21" s="80" t="s">
        <v>51</v>
      </c>
      <c r="C21" s="80" t="s">
        <v>52</v>
      </c>
      <c r="D21" s="81" t="s">
        <v>53</v>
      </c>
      <c r="E21" s="82">
        <v>10000</v>
      </c>
      <c r="F21" s="82"/>
      <c r="G21" s="74">
        <f t="shared" si="1"/>
        <v>0</v>
      </c>
      <c r="H21" s="72" t="s">
        <v>40</v>
      </c>
    </row>
    <row r="22" s="54" customFormat="1" ht="13.5" spans="1:8">
      <c r="A22" s="64" t="s">
        <v>54</v>
      </c>
      <c r="B22" s="68" t="s">
        <v>55</v>
      </c>
      <c r="C22" s="84"/>
      <c r="D22" s="64"/>
      <c r="E22" s="69"/>
      <c r="F22" s="116"/>
      <c r="G22" s="69">
        <f>SUM(G23:G29)</f>
        <v>0</v>
      </c>
      <c r="H22" s="84"/>
    </row>
    <row r="23" s="52" customFormat="1" ht="162" spans="1:8">
      <c r="A23" s="70">
        <v>1</v>
      </c>
      <c r="B23" s="80" t="s">
        <v>56</v>
      </c>
      <c r="C23" s="80" t="s">
        <v>57</v>
      </c>
      <c r="D23" s="81" t="s">
        <v>19</v>
      </c>
      <c r="E23" s="82">
        <v>1119.46</v>
      </c>
      <c r="F23" s="117"/>
      <c r="G23" s="74">
        <f t="shared" ref="G23:G29" si="2">E23*F23</f>
        <v>0</v>
      </c>
      <c r="H23" s="72" t="s">
        <v>40</v>
      </c>
    </row>
    <row r="24" s="52" customFormat="1" ht="121.5" spans="1:8">
      <c r="A24" s="70">
        <v>2</v>
      </c>
      <c r="B24" s="80" t="s">
        <v>58</v>
      </c>
      <c r="C24" s="80" t="s">
        <v>59</v>
      </c>
      <c r="D24" s="81" t="s">
        <v>60</v>
      </c>
      <c r="E24" s="82">
        <v>210</v>
      </c>
      <c r="F24" s="117"/>
      <c r="G24" s="74">
        <f t="shared" si="2"/>
        <v>0</v>
      </c>
      <c r="H24" s="72" t="s">
        <v>40</v>
      </c>
    </row>
    <row r="25" s="52" customFormat="1" ht="189" spans="1:8">
      <c r="A25" s="70">
        <v>3</v>
      </c>
      <c r="B25" s="80" t="s">
        <v>61</v>
      </c>
      <c r="C25" s="80" t="s">
        <v>62</v>
      </c>
      <c r="D25" s="81" t="s">
        <v>63</v>
      </c>
      <c r="E25" s="82">
        <v>3183</v>
      </c>
      <c r="F25" s="117"/>
      <c r="G25" s="74">
        <f t="shared" si="2"/>
        <v>0</v>
      </c>
      <c r="H25" s="72" t="s">
        <v>40</v>
      </c>
    </row>
    <row r="26" s="52" customFormat="1" ht="189" spans="1:8">
      <c r="A26" s="70">
        <v>4</v>
      </c>
      <c r="B26" s="80" t="s">
        <v>64</v>
      </c>
      <c r="C26" s="80" t="s">
        <v>65</v>
      </c>
      <c r="D26" s="81" t="s">
        <v>63</v>
      </c>
      <c r="E26" s="82">
        <v>680</v>
      </c>
      <c r="F26" s="117"/>
      <c r="G26" s="74">
        <f t="shared" si="2"/>
        <v>0</v>
      </c>
      <c r="H26" s="72" t="s">
        <v>40</v>
      </c>
    </row>
    <row r="27" s="52" customFormat="1" ht="189" spans="1:8">
      <c r="A27" s="70">
        <v>5</v>
      </c>
      <c r="B27" s="80" t="s">
        <v>66</v>
      </c>
      <c r="C27" s="80" t="s">
        <v>67</v>
      </c>
      <c r="D27" s="81" t="s">
        <v>63</v>
      </c>
      <c r="E27" s="82">
        <v>332</v>
      </c>
      <c r="F27" s="117"/>
      <c r="G27" s="74">
        <f t="shared" si="2"/>
        <v>0</v>
      </c>
      <c r="H27" s="72" t="s">
        <v>40</v>
      </c>
    </row>
    <row r="28" s="52" customFormat="1" ht="148.5" spans="1:8">
      <c r="A28" s="70">
        <v>6</v>
      </c>
      <c r="B28" s="80" t="s">
        <v>68</v>
      </c>
      <c r="C28" s="80" t="s">
        <v>69</v>
      </c>
      <c r="D28" s="81" t="s">
        <v>13</v>
      </c>
      <c r="E28" s="82">
        <v>5000</v>
      </c>
      <c r="F28" s="117"/>
      <c r="G28" s="74">
        <f t="shared" si="2"/>
        <v>0</v>
      </c>
      <c r="H28" s="72" t="s">
        <v>40</v>
      </c>
    </row>
    <row r="29" s="52" customFormat="1" ht="162" spans="1:8">
      <c r="A29" s="70">
        <v>7</v>
      </c>
      <c r="B29" s="80" t="s">
        <v>70</v>
      </c>
      <c r="C29" s="80" t="s">
        <v>71</v>
      </c>
      <c r="D29" s="81" t="s">
        <v>63</v>
      </c>
      <c r="E29" s="82">
        <v>2000</v>
      </c>
      <c r="F29" s="117"/>
      <c r="G29" s="74">
        <f t="shared" si="2"/>
        <v>0</v>
      </c>
      <c r="H29" s="72" t="s">
        <v>40</v>
      </c>
    </row>
    <row r="30" s="54" customFormat="1" ht="13.5" spans="1:8">
      <c r="A30" s="64" t="s">
        <v>72</v>
      </c>
      <c r="B30" s="68" t="s">
        <v>73</v>
      </c>
      <c r="C30" s="84"/>
      <c r="D30" s="68"/>
      <c r="E30" s="87"/>
      <c r="F30" s="116"/>
      <c r="G30" s="69">
        <f>SUM(G31:G37)</f>
        <v>0</v>
      </c>
      <c r="H30" s="84"/>
    </row>
    <row r="31" s="52" customFormat="1" ht="162" spans="1:8">
      <c r="A31" s="70">
        <v>1</v>
      </c>
      <c r="B31" s="80" t="s">
        <v>74</v>
      </c>
      <c r="C31" s="80" t="s">
        <v>75</v>
      </c>
      <c r="D31" s="81" t="s">
        <v>19</v>
      </c>
      <c r="E31" s="82">
        <v>618</v>
      </c>
      <c r="F31" s="117"/>
      <c r="G31" s="74">
        <f t="shared" ref="G31:G37" si="3">E31*F31</f>
        <v>0</v>
      </c>
      <c r="H31" s="72" t="s">
        <v>40</v>
      </c>
    </row>
    <row r="32" s="52" customFormat="1" ht="108" spans="1:8">
      <c r="A32" s="70">
        <v>2</v>
      </c>
      <c r="B32" s="80" t="s">
        <v>76</v>
      </c>
      <c r="C32" s="80" t="s">
        <v>77</v>
      </c>
      <c r="D32" s="81" t="s">
        <v>19</v>
      </c>
      <c r="E32" s="82">
        <v>798.6</v>
      </c>
      <c r="F32" s="117"/>
      <c r="G32" s="74">
        <f t="shared" si="3"/>
        <v>0</v>
      </c>
      <c r="H32" s="72" t="s">
        <v>40</v>
      </c>
    </row>
    <row r="33" s="52" customFormat="1" ht="108" spans="1:8">
      <c r="A33" s="70">
        <v>3</v>
      </c>
      <c r="B33" s="80" t="s">
        <v>78</v>
      </c>
      <c r="C33" s="80" t="s">
        <v>79</v>
      </c>
      <c r="D33" s="81" t="s">
        <v>19</v>
      </c>
      <c r="E33" s="82">
        <v>1534.44</v>
      </c>
      <c r="F33" s="117"/>
      <c r="G33" s="74">
        <f t="shared" si="3"/>
        <v>0</v>
      </c>
      <c r="H33" s="72" t="s">
        <v>40</v>
      </c>
    </row>
    <row r="34" s="52" customFormat="1" ht="108" spans="1:8">
      <c r="A34" s="70">
        <v>4</v>
      </c>
      <c r="B34" s="80" t="s">
        <v>80</v>
      </c>
      <c r="C34" s="80" t="s">
        <v>81</v>
      </c>
      <c r="D34" s="81" t="s">
        <v>19</v>
      </c>
      <c r="E34" s="82">
        <v>161.5</v>
      </c>
      <c r="F34" s="117"/>
      <c r="G34" s="74">
        <f t="shared" si="3"/>
        <v>0</v>
      </c>
      <c r="H34" s="72" t="s">
        <v>40</v>
      </c>
    </row>
    <row r="35" s="52" customFormat="1" ht="121.5" spans="1:8">
      <c r="A35" s="70">
        <v>5</v>
      </c>
      <c r="B35" s="80" t="s">
        <v>58</v>
      </c>
      <c r="C35" s="80" t="s">
        <v>59</v>
      </c>
      <c r="D35" s="81" t="s">
        <v>60</v>
      </c>
      <c r="E35" s="82">
        <v>383.98</v>
      </c>
      <c r="F35" s="117"/>
      <c r="G35" s="74">
        <f t="shared" si="3"/>
        <v>0</v>
      </c>
      <c r="H35" s="72" t="s">
        <v>40</v>
      </c>
    </row>
    <row r="36" s="52" customFormat="1" ht="148.5" spans="1:8">
      <c r="A36" s="70">
        <v>6</v>
      </c>
      <c r="B36" s="80" t="s">
        <v>68</v>
      </c>
      <c r="C36" s="80" t="s">
        <v>69</v>
      </c>
      <c r="D36" s="81" t="s">
        <v>13</v>
      </c>
      <c r="E36" s="82">
        <v>4038</v>
      </c>
      <c r="F36" s="117"/>
      <c r="G36" s="74">
        <f t="shared" si="3"/>
        <v>0</v>
      </c>
      <c r="H36" s="72" t="s">
        <v>40</v>
      </c>
    </row>
    <row r="37" s="52" customFormat="1" ht="162" spans="1:8">
      <c r="A37" s="70">
        <v>7</v>
      </c>
      <c r="B37" s="80" t="s">
        <v>70</v>
      </c>
      <c r="C37" s="80" t="s">
        <v>71</v>
      </c>
      <c r="D37" s="81" t="s">
        <v>63</v>
      </c>
      <c r="E37" s="82">
        <v>3230</v>
      </c>
      <c r="F37" s="117"/>
      <c r="G37" s="74">
        <f t="shared" si="3"/>
        <v>0</v>
      </c>
      <c r="H37" s="72" t="s">
        <v>40</v>
      </c>
    </row>
    <row r="38" s="54" customFormat="1" ht="13.5" spans="1:8">
      <c r="A38" s="64" t="s">
        <v>82</v>
      </c>
      <c r="B38" s="68" t="s">
        <v>83</v>
      </c>
      <c r="C38" s="84"/>
      <c r="D38" s="68"/>
      <c r="E38" s="87"/>
      <c r="F38" s="116"/>
      <c r="G38" s="69">
        <f>SUM(G39:G44)</f>
        <v>0</v>
      </c>
      <c r="H38" s="84"/>
    </row>
    <row r="39" s="52" customFormat="1" ht="162" spans="1:8">
      <c r="A39" s="70">
        <v>1</v>
      </c>
      <c r="B39" s="80" t="s">
        <v>84</v>
      </c>
      <c r="C39" s="80" t="s">
        <v>85</v>
      </c>
      <c r="D39" s="81" t="s">
        <v>19</v>
      </c>
      <c r="E39" s="82">
        <v>15.78</v>
      </c>
      <c r="F39" s="117"/>
      <c r="G39" s="74">
        <f t="shared" ref="G39:G44" si="4">E39*F39</f>
        <v>0</v>
      </c>
      <c r="H39" s="72" t="s">
        <v>40</v>
      </c>
    </row>
    <row r="40" s="52" customFormat="1" ht="121.5" spans="1:8">
      <c r="A40" s="70">
        <v>2</v>
      </c>
      <c r="B40" s="80" t="s">
        <v>86</v>
      </c>
      <c r="C40" s="80" t="s">
        <v>87</v>
      </c>
      <c r="D40" s="81" t="s">
        <v>19</v>
      </c>
      <c r="E40" s="82">
        <v>0.86</v>
      </c>
      <c r="F40" s="117"/>
      <c r="G40" s="74">
        <f t="shared" si="4"/>
        <v>0</v>
      </c>
      <c r="H40" s="72" t="s">
        <v>40</v>
      </c>
    </row>
    <row r="41" s="52" customFormat="1" ht="121.5" spans="1:8">
      <c r="A41" s="70">
        <v>3</v>
      </c>
      <c r="B41" s="80" t="s">
        <v>58</v>
      </c>
      <c r="C41" s="80" t="s">
        <v>59</v>
      </c>
      <c r="D41" s="81" t="s">
        <v>60</v>
      </c>
      <c r="E41" s="82">
        <v>2.73</v>
      </c>
      <c r="F41" s="117"/>
      <c r="G41" s="74">
        <f t="shared" si="4"/>
        <v>0</v>
      </c>
      <c r="H41" s="72" t="s">
        <v>40</v>
      </c>
    </row>
    <row r="42" s="52" customFormat="1" ht="189" spans="1:8">
      <c r="A42" s="70">
        <v>4</v>
      </c>
      <c r="B42" s="80" t="s">
        <v>61</v>
      </c>
      <c r="C42" s="80" t="s">
        <v>62</v>
      </c>
      <c r="D42" s="81" t="s">
        <v>63</v>
      </c>
      <c r="E42" s="82">
        <v>31.84</v>
      </c>
      <c r="F42" s="117"/>
      <c r="G42" s="74">
        <f t="shared" si="4"/>
        <v>0</v>
      </c>
      <c r="H42" s="72" t="s">
        <v>40</v>
      </c>
    </row>
    <row r="43" s="52" customFormat="1" ht="162" spans="1:8">
      <c r="A43" s="70">
        <v>5</v>
      </c>
      <c r="B43" s="80" t="s">
        <v>70</v>
      </c>
      <c r="C43" s="80" t="s">
        <v>71</v>
      </c>
      <c r="D43" s="81" t="s">
        <v>63</v>
      </c>
      <c r="E43" s="82">
        <v>21.6</v>
      </c>
      <c r="F43" s="117"/>
      <c r="G43" s="74">
        <f t="shared" si="4"/>
        <v>0</v>
      </c>
      <c r="H43" s="72" t="s">
        <v>40</v>
      </c>
    </row>
    <row r="44" s="52" customFormat="1" ht="148.5" spans="1:8">
      <c r="A44" s="70">
        <v>6</v>
      </c>
      <c r="B44" s="80" t="s">
        <v>68</v>
      </c>
      <c r="C44" s="80" t="s">
        <v>69</v>
      </c>
      <c r="D44" s="81" t="s">
        <v>13</v>
      </c>
      <c r="E44" s="82">
        <v>63.24</v>
      </c>
      <c r="F44" s="117"/>
      <c r="G44" s="74">
        <f t="shared" si="4"/>
        <v>0</v>
      </c>
      <c r="H44" s="72" t="s">
        <v>40</v>
      </c>
    </row>
    <row r="45" s="54" customFormat="1" ht="13.5" spans="1:8">
      <c r="A45" s="64" t="s">
        <v>88</v>
      </c>
      <c r="B45" s="68" t="s">
        <v>89</v>
      </c>
      <c r="C45" s="84"/>
      <c r="D45" s="68"/>
      <c r="E45" s="87"/>
      <c r="F45" s="116"/>
      <c r="G45" s="69">
        <f>SUM(G46:G51)</f>
        <v>0</v>
      </c>
      <c r="H45" s="84"/>
    </row>
    <row r="46" s="52" customFormat="1" ht="162" spans="1:8">
      <c r="A46" s="70">
        <v>1</v>
      </c>
      <c r="B46" s="80" t="s">
        <v>90</v>
      </c>
      <c r="C46" s="80" t="s">
        <v>91</v>
      </c>
      <c r="D46" s="81" t="s">
        <v>19</v>
      </c>
      <c r="E46" s="82">
        <v>97</v>
      </c>
      <c r="F46" s="117"/>
      <c r="G46" s="74">
        <f t="shared" ref="G46:G51" si="5">E46*F46</f>
        <v>0</v>
      </c>
      <c r="H46" s="72" t="s">
        <v>40</v>
      </c>
    </row>
    <row r="47" s="52" customFormat="1" ht="121.5" spans="1:8">
      <c r="A47" s="70">
        <v>2</v>
      </c>
      <c r="B47" s="80" t="s">
        <v>58</v>
      </c>
      <c r="C47" s="80" t="s">
        <v>59</v>
      </c>
      <c r="D47" s="81" t="s">
        <v>60</v>
      </c>
      <c r="E47" s="82">
        <v>27.99</v>
      </c>
      <c r="F47" s="117"/>
      <c r="G47" s="74">
        <f t="shared" si="5"/>
        <v>0</v>
      </c>
      <c r="H47" s="72" t="s">
        <v>40</v>
      </c>
    </row>
    <row r="48" s="52" customFormat="1" ht="148.5" spans="1:8">
      <c r="A48" s="70">
        <v>3</v>
      </c>
      <c r="B48" s="80" t="s">
        <v>68</v>
      </c>
      <c r="C48" s="80" t="s">
        <v>69</v>
      </c>
      <c r="D48" s="81" t="s">
        <v>13</v>
      </c>
      <c r="E48" s="82">
        <v>321.65</v>
      </c>
      <c r="F48" s="117"/>
      <c r="G48" s="74">
        <f t="shared" si="5"/>
        <v>0</v>
      </c>
      <c r="H48" s="72" t="s">
        <v>40</v>
      </c>
    </row>
    <row r="49" s="52" customFormat="1" ht="108" spans="1:8">
      <c r="A49" s="70">
        <v>4</v>
      </c>
      <c r="B49" s="80" t="s">
        <v>76</v>
      </c>
      <c r="C49" s="80" t="s">
        <v>77</v>
      </c>
      <c r="D49" s="81" t="s">
        <v>19</v>
      </c>
      <c r="E49" s="82">
        <v>92.2</v>
      </c>
      <c r="F49" s="117"/>
      <c r="G49" s="74">
        <f t="shared" si="5"/>
        <v>0</v>
      </c>
      <c r="H49" s="72" t="s">
        <v>40</v>
      </c>
    </row>
    <row r="50" s="52" customFormat="1" ht="162" spans="1:8">
      <c r="A50" s="70">
        <v>5</v>
      </c>
      <c r="B50" s="80" t="s">
        <v>70</v>
      </c>
      <c r="C50" s="80" t="s">
        <v>71</v>
      </c>
      <c r="D50" s="81" t="s">
        <v>63</v>
      </c>
      <c r="E50" s="82">
        <v>288</v>
      </c>
      <c r="F50" s="117"/>
      <c r="G50" s="74">
        <f t="shared" si="5"/>
        <v>0</v>
      </c>
      <c r="H50" s="72" t="s">
        <v>40</v>
      </c>
    </row>
    <row r="51" s="52" customFormat="1" ht="108" spans="1:8">
      <c r="A51" s="70">
        <v>6</v>
      </c>
      <c r="B51" s="80" t="s">
        <v>78</v>
      </c>
      <c r="C51" s="80" t="s">
        <v>79</v>
      </c>
      <c r="D51" s="81" t="s">
        <v>19</v>
      </c>
      <c r="E51" s="82">
        <v>96</v>
      </c>
      <c r="F51" s="117"/>
      <c r="G51" s="74">
        <f t="shared" si="5"/>
        <v>0</v>
      </c>
      <c r="H51" s="72" t="s">
        <v>40</v>
      </c>
    </row>
    <row r="52" s="54" customFormat="1" ht="13.5" spans="1:8">
      <c r="A52" s="64" t="s">
        <v>92</v>
      </c>
      <c r="B52" s="68" t="s">
        <v>93</v>
      </c>
      <c r="C52" s="84"/>
      <c r="D52" s="68"/>
      <c r="E52" s="87"/>
      <c r="F52" s="116"/>
      <c r="G52" s="69">
        <f>SUM(G53:G55)</f>
        <v>0</v>
      </c>
      <c r="H52" s="84"/>
    </row>
    <row r="53" s="52" customFormat="1" ht="243" spans="1:8">
      <c r="A53" s="70">
        <v>1</v>
      </c>
      <c r="B53" s="80" t="s">
        <v>94</v>
      </c>
      <c r="C53" s="80" t="s">
        <v>95</v>
      </c>
      <c r="D53" s="81" t="s">
        <v>19</v>
      </c>
      <c r="E53" s="82">
        <v>845.75</v>
      </c>
      <c r="F53" s="117"/>
      <c r="G53" s="74">
        <f t="shared" ref="G53:G55" si="6">E53*F53</f>
        <v>0</v>
      </c>
      <c r="H53" s="72" t="s">
        <v>40</v>
      </c>
    </row>
    <row r="54" s="52" customFormat="1" ht="162" spans="1:8">
      <c r="A54" s="70">
        <v>2</v>
      </c>
      <c r="B54" s="80" t="s">
        <v>70</v>
      </c>
      <c r="C54" s="80" t="s">
        <v>71</v>
      </c>
      <c r="D54" s="81" t="s">
        <v>63</v>
      </c>
      <c r="E54" s="82">
        <v>40</v>
      </c>
      <c r="F54" s="117"/>
      <c r="G54" s="74">
        <f t="shared" si="6"/>
        <v>0</v>
      </c>
      <c r="H54" s="72" t="s">
        <v>40</v>
      </c>
    </row>
    <row r="55" s="52" customFormat="1" ht="148.5" spans="1:8">
      <c r="A55" s="70">
        <v>3</v>
      </c>
      <c r="B55" s="80" t="s">
        <v>68</v>
      </c>
      <c r="C55" s="80" t="s">
        <v>69</v>
      </c>
      <c r="D55" s="81" t="s">
        <v>13</v>
      </c>
      <c r="E55" s="82">
        <v>100</v>
      </c>
      <c r="F55" s="117"/>
      <c r="G55" s="74">
        <f t="shared" si="6"/>
        <v>0</v>
      </c>
      <c r="H55" s="72" t="s">
        <v>40</v>
      </c>
    </row>
    <row r="56" s="54" customFormat="1" ht="13.5" spans="1:8">
      <c r="A56" s="64" t="s">
        <v>96</v>
      </c>
      <c r="B56" s="68" t="s">
        <v>97</v>
      </c>
      <c r="C56" s="84"/>
      <c r="D56" s="68"/>
      <c r="E56" s="87"/>
      <c r="F56" s="116"/>
      <c r="G56" s="69">
        <f>SUM(G57:G63)</f>
        <v>0</v>
      </c>
      <c r="H56" s="84"/>
    </row>
    <row r="57" s="52" customFormat="1" ht="162" spans="1:8">
      <c r="A57" s="70">
        <v>1</v>
      </c>
      <c r="B57" s="80" t="s">
        <v>98</v>
      </c>
      <c r="C57" s="80" t="s">
        <v>99</v>
      </c>
      <c r="D57" s="81" t="s">
        <v>19</v>
      </c>
      <c r="E57" s="82">
        <v>110.77</v>
      </c>
      <c r="F57" s="117"/>
      <c r="G57" s="74">
        <f t="shared" ref="G57:G63" si="7">E57*F57</f>
        <v>0</v>
      </c>
      <c r="H57" s="72" t="s">
        <v>40</v>
      </c>
    </row>
    <row r="58" s="52" customFormat="1" ht="108" spans="1:8">
      <c r="A58" s="70">
        <v>2</v>
      </c>
      <c r="B58" s="80" t="s">
        <v>76</v>
      </c>
      <c r="C58" s="80" t="s">
        <v>77</v>
      </c>
      <c r="D58" s="81" t="s">
        <v>19</v>
      </c>
      <c r="E58" s="82">
        <v>32.4</v>
      </c>
      <c r="F58" s="117"/>
      <c r="G58" s="74">
        <f t="shared" si="7"/>
        <v>0</v>
      </c>
      <c r="H58" s="72" t="s">
        <v>40</v>
      </c>
    </row>
    <row r="59" s="52" customFormat="1" ht="108" spans="1:8">
      <c r="A59" s="70">
        <v>3</v>
      </c>
      <c r="B59" s="80" t="s">
        <v>78</v>
      </c>
      <c r="C59" s="80" t="s">
        <v>79</v>
      </c>
      <c r="D59" s="81" t="s">
        <v>19</v>
      </c>
      <c r="E59" s="82">
        <v>33.75</v>
      </c>
      <c r="F59" s="117"/>
      <c r="G59" s="74">
        <f t="shared" si="7"/>
        <v>0</v>
      </c>
      <c r="H59" s="72" t="s">
        <v>40</v>
      </c>
    </row>
    <row r="60" s="52" customFormat="1" ht="108" spans="1:8">
      <c r="A60" s="70">
        <v>4</v>
      </c>
      <c r="B60" s="80" t="s">
        <v>80</v>
      </c>
      <c r="C60" s="80" t="s">
        <v>81</v>
      </c>
      <c r="D60" s="81" t="s">
        <v>19</v>
      </c>
      <c r="E60" s="82">
        <v>3.38</v>
      </c>
      <c r="F60" s="117"/>
      <c r="G60" s="74">
        <f t="shared" si="7"/>
        <v>0</v>
      </c>
      <c r="H60" s="72" t="s">
        <v>40</v>
      </c>
    </row>
    <row r="61" s="52" customFormat="1" ht="121.5" spans="1:8">
      <c r="A61" s="70">
        <v>5</v>
      </c>
      <c r="B61" s="80" t="s">
        <v>58</v>
      </c>
      <c r="C61" s="80" t="s">
        <v>59</v>
      </c>
      <c r="D61" s="81" t="s">
        <v>60</v>
      </c>
      <c r="E61" s="82">
        <v>27.687</v>
      </c>
      <c r="F61" s="117"/>
      <c r="G61" s="74">
        <f t="shared" si="7"/>
        <v>0</v>
      </c>
      <c r="H61" s="72" t="s">
        <v>40</v>
      </c>
    </row>
    <row r="62" s="52" customFormat="1" ht="162" spans="1:8">
      <c r="A62" s="70">
        <v>6</v>
      </c>
      <c r="B62" s="80" t="s">
        <v>70</v>
      </c>
      <c r="C62" s="80" t="s">
        <v>71</v>
      </c>
      <c r="D62" s="81" t="s">
        <v>63</v>
      </c>
      <c r="E62" s="82">
        <v>267.5</v>
      </c>
      <c r="F62" s="117"/>
      <c r="G62" s="74">
        <f t="shared" si="7"/>
        <v>0</v>
      </c>
      <c r="H62" s="72" t="s">
        <v>40</v>
      </c>
    </row>
    <row r="63" s="52" customFormat="1" ht="148.5" spans="1:8">
      <c r="A63" s="70">
        <v>7</v>
      </c>
      <c r="B63" s="80" t="s">
        <v>68</v>
      </c>
      <c r="C63" s="80" t="s">
        <v>69</v>
      </c>
      <c r="D63" s="81" t="s">
        <v>13</v>
      </c>
      <c r="E63" s="82">
        <v>400</v>
      </c>
      <c r="F63" s="117"/>
      <c r="G63" s="74">
        <f t="shared" si="7"/>
        <v>0</v>
      </c>
      <c r="H63" s="72" t="s">
        <v>40</v>
      </c>
    </row>
    <row r="64" s="54" customFormat="1" ht="13.5" spans="1:8">
      <c r="A64" s="64" t="s">
        <v>100</v>
      </c>
      <c r="B64" s="68" t="s">
        <v>101</v>
      </c>
      <c r="C64" s="84"/>
      <c r="D64" s="68"/>
      <c r="E64" s="87"/>
      <c r="F64" s="116"/>
      <c r="G64" s="69">
        <f>SUM(G65:G69)</f>
        <v>0</v>
      </c>
      <c r="H64" s="84"/>
    </row>
    <row r="65" s="52" customFormat="1" ht="229.5" spans="1:8">
      <c r="A65" s="70">
        <v>1</v>
      </c>
      <c r="B65" s="80" t="s">
        <v>94</v>
      </c>
      <c r="C65" s="80" t="s">
        <v>102</v>
      </c>
      <c r="D65" s="81" t="s">
        <v>19</v>
      </c>
      <c r="E65" s="82">
        <v>1398.84</v>
      </c>
      <c r="F65" s="117"/>
      <c r="G65" s="74">
        <f t="shared" ref="G65:G69" si="8">E65*F65</f>
        <v>0</v>
      </c>
      <c r="H65" s="72" t="s">
        <v>40</v>
      </c>
    </row>
    <row r="66" s="52" customFormat="1" ht="135" spans="1:8">
      <c r="A66" s="70">
        <v>2</v>
      </c>
      <c r="B66" s="80" t="s">
        <v>103</v>
      </c>
      <c r="C66" s="80" t="s">
        <v>104</v>
      </c>
      <c r="D66" s="81" t="s">
        <v>13</v>
      </c>
      <c r="E66" s="82">
        <v>154.52</v>
      </c>
      <c r="F66" s="117"/>
      <c r="G66" s="74">
        <f t="shared" si="8"/>
        <v>0</v>
      </c>
      <c r="H66" s="72" t="s">
        <v>40</v>
      </c>
    </row>
    <row r="67" s="52" customFormat="1" ht="148.5" spans="1:8">
      <c r="A67" s="70">
        <v>3</v>
      </c>
      <c r="B67" s="80" t="s">
        <v>68</v>
      </c>
      <c r="C67" s="80" t="s">
        <v>105</v>
      </c>
      <c r="D67" s="81" t="s">
        <v>13</v>
      </c>
      <c r="E67" s="82">
        <v>202.5</v>
      </c>
      <c r="F67" s="117"/>
      <c r="G67" s="74">
        <f t="shared" si="8"/>
        <v>0</v>
      </c>
      <c r="H67" s="72" t="s">
        <v>40</v>
      </c>
    </row>
    <row r="68" s="52" customFormat="1" ht="148.5" spans="1:8">
      <c r="A68" s="70">
        <v>4</v>
      </c>
      <c r="B68" s="80" t="s">
        <v>106</v>
      </c>
      <c r="C68" s="80" t="s">
        <v>107</v>
      </c>
      <c r="D68" s="81" t="s">
        <v>13</v>
      </c>
      <c r="E68" s="82">
        <v>154.52</v>
      </c>
      <c r="F68" s="117"/>
      <c r="G68" s="74">
        <f t="shared" si="8"/>
        <v>0</v>
      </c>
      <c r="H68" s="72" t="s">
        <v>40</v>
      </c>
    </row>
    <row r="69" s="52" customFormat="1" ht="162" spans="1:8">
      <c r="A69" s="70">
        <v>5</v>
      </c>
      <c r="B69" s="80" t="s">
        <v>70</v>
      </c>
      <c r="C69" s="80" t="s">
        <v>71</v>
      </c>
      <c r="D69" s="81" t="s">
        <v>63</v>
      </c>
      <c r="E69" s="82">
        <v>257.53</v>
      </c>
      <c r="F69" s="117"/>
      <c r="G69" s="74">
        <f t="shared" si="8"/>
        <v>0</v>
      </c>
      <c r="H69" s="72" t="s">
        <v>40</v>
      </c>
    </row>
    <row r="70" s="54" customFormat="1" ht="27" spans="1:8">
      <c r="A70" s="64" t="s">
        <v>108</v>
      </c>
      <c r="B70" s="68" t="s">
        <v>109</v>
      </c>
      <c r="C70" s="84"/>
      <c r="D70" s="68"/>
      <c r="E70" s="87"/>
      <c r="F70" s="116"/>
      <c r="G70" s="69">
        <f>SUM(G71:G73)</f>
        <v>0</v>
      </c>
      <c r="H70" s="84"/>
    </row>
    <row r="71" s="52" customFormat="1" ht="289" customHeight="1" spans="1:8">
      <c r="A71" s="70">
        <v>1</v>
      </c>
      <c r="B71" s="80" t="s">
        <v>110</v>
      </c>
      <c r="C71" s="80" t="s">
        <v>111</v>
      </c>
      <c r="D71" s="81" t="s">
        <v>60</v>
      </c>
      <c r="E71" s="82">
        <f>6495.3+1547.38+341.66</f>
        <v>8384.34</v>
      </c>
      <c r="F71" s="82"/>
      <c r="G71" s="74">
        <f t="shared" ref="G71:G73" si="9">E71*F71</f>
        <v>0</v>
      </c>
      <c r="H71" s="72" t="s">
        <v>40</v>
      </c>
    </row>
    <row r="72" s="52" customFormat="1" ht="244" customHeight="1" spans="1:8">
      <c r="A72" s="70">
        <v>2</v>
      </c>
      <c r="B72" s="80" t="s">
        <v>112</v>
      </c>
      <c r="C72" s="80" t="s">
        <v>113</v>
      </c>
      <c r="D72" s="81" t="s">
        <v>19</v>
      </c>
      <c r="E72" s="82">
        <v>128.87</v>
      </c>
      <c r="F72" s="82"/>
      <c r="G72" s="74">
        <f t="shared" si="9"/>
        <v>0</v>
      </c>
      <c r="H72" s="72" t="s">
        <v>40</v>
      </c>
    </row>
    <row r="73" s="52" customFormat="1" ht="247" customHeight="1" spans="1:8">
      <c r="A73" s="70">
        <v>3</v>
      </c>
      <c r="B73" s="80" t="s">
        <v>114</v>
      </c>
      <c r="C73" s="80" t="s">
        <v>115</v>
      </c>
      <c r="D73" s="81" t="s">
        <v>13</v>
      </c>
      <c r="E73" s="82">
        <v>4691.74</v>
      </c>
      <c r="F73" s="82"/>
      <c r="G73" s="74">
        <f t="shared" si="9"/>
        <v>0</v>
      </c>
      <c r="H73" s="72" t="s">
        <v>40</v>
      </c>
    </row>
    <row r="74" s="54" customFormat="1" customHeight="1" spans="1:8">
      <c r="A74" s="64" t="s">
        <v>116</v>
      </c>
      <c r="B74" s="68" t="s">
        <v>117</v>
      </c>
      <c r="C74" s="84"/>
      <c r="D74" s="68"/>
      <c r="E74" s="88"/>
      <c r="F74" s="88"/>
      <c r="G74" s="69">
        <f>SUM(G75:G77)</f>
        <v>0</v>
      </c>
      <c r="H74" s="84"/>
    </row>
    <row r="75" s="52" customFormat="1" ht="285" customHeight="1" spans="1:8">
      <c r="A75" s="70">
        <v>1</v>
      </c>
      <c r="B75" s="80" t="s">
        <v>110</v>
      </c>
      <c r="C75" s="80" t="s">
        <v>111</v>
      </c>
      <c r="D75" s="81" t="s">
        <v>60</v>
      </c>
      <c r="E75" s="82">
        <f>6495.3+1547.38+341.66</f>
        <v>8384.34</v>
      </c>
      <c r="F75" s="82"/>
      <c r="G75" s="74">
        <f t="shared" ref="G75:G77" si="10">E75*F75</f>
        <v>0</v>
      </c>
      <c r="H75" s="72" t="s">
        <v>40</v>
      </c>
    </row>
    <row r="76" s="52" customFormat="1" ht="251" customHeight="1" spans="1:8">
      <c r="A76" s="70">
        <v>2</v>
      </c>
      <c r="B76" s="80" t="s">
        <v>112</v>
      </c>
      <c r="C76" s="80" t="s">
        <v>113</v>
      </c>
      <c r="D76" s="81" t="s">
        <v>19</v>
      </c>
      <c r="E76" s="82">
        <v>128.87</v>
      </c>
      <c r="F76" s="82"/>
      <c r="G76" s="74">
        <f t="shared" si="10"/>
        <v>0</v>
      </c>
      <c r="H76" s="72" t="s">
        <v>40</v>
      </c>
    </row>
    <row r="77" s="52" customFormat="1" ht="246" customHeight="1" spans="1:8">
      <c r="A77" s="70">
        <v>3</v>
      </c>
      <c r="B77" s="80" t="s">
        <v>114</v>
      </c>
      <c r="C77" s="80" t="s">
        <v>115</v>
      </c>
      <c r="D77" s="81" t="s">
        <v>13</v>
      </c>
      <c r="E77" s="82">
        <v>4691.74</v>
      </c>
      <c r="F77" s="82"/>
      <c r="G77" s="74">
        <f t="shared" si="10"/>
        <v>0</v>
      </c>
      <c r="H77" s="72" t="s">
        <v>40</v>
      </c>
    </row>
    <row r="78" s="54" customFormat="1" customHeight="1" spans="1:8">
      <c r="A78" s="64" t="s">
        <v>118</v>
      </c>
      <c r="B78" s="90" t="s">
        <v>119</v>
      </c>
      <c r="C78" s="91"/>
      <c r="D78" s="90"/>
      <c r="E78" s="88"/>
      <c r="F78" s="88"/>
      <c r="G78" s="69">
        <f>SUM(G79:G83)</f>
        <v>0</v>
      </c>
      <c r="H78" s="84"/>
    </row>
    <row r="79" s="52" customFormat="1" ht="257" customHeight="1" spans="1:8">
      <c r="A79" s="70">
        <v>1</v>
      </c>
      <c r="B79" s="80" t="s">
        <v>120</v>
      </c>
      <c r="C79" s="80" t="s">
        <v>121</v>
      </c>
      <c r="D79" s="81" t="s">
        <v>60</v>
      </c>
      <c r="E79" s="82">
        <f>12990.6+3094.75+683.31+15</f>
        <v>16783.66</v>
      </c>
      <c r="F79" s="82"/>
      <c r="G79" s="74">
        <f t="shared" ref="G79:G84" si="11">E79*F79</f>
        <v>0</v>
      </c>
      <c r="H79" s="72" t="s">
        <v>40</v>
      </c>
    </row>
    <row r="80" s="52" customFormat="1" ht="258" customHeight="1" spans="1:8">
      <c r="A80" s="70">
        <v>2</v>
      </c>
      <c r="B80" s="80" t="s">
        <v>122</v>
      </c>
      <c r="C80" s="80" t="s">
        <v>123</v>
      </c>
      <c r="D80" s="81" t="s">
        <v>60</v>
      </c>
      <c r="E80" s="82">
        <f>12990.6+3094.75+683.31+15</f>
        <v>16783.66</v>
      </c>
      <c r="F80" s="82"/>
      <c r="G80" s="74">
        <f t="shared" si="11"/>
        <v>0</v>
      </c>
      <c r="H80" s="72" t="s">
        <v>40</v>
      </c>
    </row>
    <row r="81" s="52" customFormat="1" ht="249" customHeight="1" spans="1:8">
      <c r="A81" s="70">
        <v>3</v>
      </c>
      <c r="B81" s="80" t="s">
        <v>124</v>
      </c>
      <c r="C81" s="80" t="s">
        <v>125</v>
      </c>
      <c r="D81" s="81" t="s">
        <v>19</v>
      </c>
      <c r="E81" s="82">
        <v>257.73</v>
      </c>
      <c r="F81" s="82"/>
      <c r="G81" s="74">
        <f t="shared" si="11"/>
        <v>0</v>
      </c>
      <c r="H81" s="72" t="s">
        <v>40</v>
      </c>
    </row>
    <row r="82" s="52" customFormat="1" ht="249" customHeight="1" spans="1:8">
      <c r="A82" s="70">
        <v>4</v>
      </c>
      <c r="B82" s="80" t="s">
        <v>126</v>
      </c>
      <c r="C82" s="80" t="s">
        <v>127</v>
      </c>
      <c r="D82" s="81" t="s">
        <v>19</v>
      </c>
      <c r="E82" s="82">
        <v>257.73</v>
      </c>
      <c r="F82" s="82"/>
      <c r="G82" s="74">
        <f t="shared" si="11"/>
        <v>0</v>
      </c>
      <c r="H82" s="72" t="s">
        <v>40</v>
      </c>
    </row>
    <row r="83" s="52" customFormat="1" ht="252" customHeight="1" spans="1:8">
      <c r="A83" s="70">
        <v>5</v>
      </c>
      <c r="B83" s="80" t="s">
        <v>128</v>
      </c>
      <c r="C83" s="80" t="s">
        <v>129</v>
      </c>
      <c r="D83" s="81" t="s">
        <v>13</v>
      </c>
      <c r="E83" s="82">
        <v>9383.48</v>
      </c>
      <c r="F83" s="82"/>
      <c r="G83" s="74">
        <f t="shared" si="11"/>
        <v>0</v>
      </c>
      <c r="H83" s="72" t="s">
        <v>40</v>
      </c>
    </row>
    <row r="84" s="55" customFormat="1" ht="250" customHeight="1" spans="1:8">
      <c r="A84" s="70">
        <v>6</v>
      </c>
      <c r="B84" s="80" t="s">
        <v>130</v>
      </c>
      <c r="C84" s="80" t="s">
        <v>131</v>
      </c>
      <c r="D84" s="81" t="s">
        <v>13</v>
      </c>
      <c r="E84" s="82">
        <v>9383.48</v>
      </c>
      <c r="F84" s="82"/>
      <c r="G84" s="74">
        <f t="shared" si="11"/>
        <v>0</v>
      </c>
      <c r="H84" s="72" t="s">
        <v>40</v>
      </c>
    </row>
    <row r="85" s="54" customFormat="1" ht="13.5" spans="1:8">
      <c r="A85" s="64" t="s">
        <v>132</v>
      </c>
      <c r="B85" s="90" t="s">
        <v>133</v>
      </c>
      <c r="C85" s="91"/>
      <c r="D85" s="90"/>
      <c r="E85" s="88"/>
      <c r="F85" s="88"/>
      <c r="G85" s="69">
        <f>SUM(G86)</f>
        <v>0</v>
      </c>
      <c r="H85" s="72"/>
    </row>
    <row r="86" s="52" customFormat="1" ht="163" customHeight="1" spans="1:8">
      <c r="A86" s="70">
        <v>1</v>
      </c>
      <c r="B86" s="80" t="s">
        <v>134</v>
      </c>
      <c r="C86" s="80" t="s">
        <v>135</v>
      </c>
      <c r="D86" s="81" t="s">
        <v>13</v>
      </c>
      <c r="E86" s="82">
        <v>9863.22</v>
      </c>
      <c r="F86" s="82"/>
      <c r="G86" s="74">
        <f t="shared" ref="G86:G91" si="12">E86*F86</f>
        <v>0</v>
      </c>
      <c r="H86" s="72" t="s">
        <v>40</v>
      </c>
    </row>
    <row r="87" s="54" customFormat="1" ht="13.5" spans="1:8">
      <c r="A87" s="64" t="s">
        <v>136</v>
      </c>
      <c r="B87" s="68" t="s">
        <v>137</v>
      </c>
      <c r="C87" s="84"/>
      <c r="D87" s="68"/>
      <c r="E87" s="87"/>
      <c r="F87" s="87"/>
      <c r="G87" s="69">
        <f>SUM(G88:G91)</f>
        <v>409032.3</v>
      </c>
      <c r="H87" s="84"/>
    </row>
    <row r="88" s="52" customFormat="1" ht="27" spans="1:8">
      <c r="A88" s="70">
        <v>1</v>
      </c>
      <c r="B88" s="71" t="s">
        <v>138</v>
      </c>
      <c r="C88" s="72"/>
      <c r="D88" s="73" t="s">
        <v>33</v>
      </c>
      <c r="E88" s="77">
        <v>1</v>
      </c>
      <c r="F88" s="77"/>
      <c r="G88" s="74">
        <f t="shared" si="12"/>
        <v>0</v>
      </c>
      <c r="H88" s="72"/>
    </row>
    <row r="89" s="52" customFormat="1" ht="45" customHeight="1" spans="1:8">
      <c r="A89" s="70">
        <v>2</v>
      </c>
      <c r="B89" s="71" t="s">
        <v>139</v>
      </c>
      <c r="C89" s="72" t="s">
        <v>140</v>
      </c>
      <c r="D89" s="73" t="s">
        <v>141</v>
      </c>
      <c r="E89" s="77">
        <f>G13</f>
        <v>0</v>
      </c>
      <c r="F89" s="93">
        <v>0.03</v>
      </c>
      <c r="G89" s="74">
        <v>409032.3</v>
      </c>
      <c r="H89" s="72" t="s">
        <v>142</v>
      </c>
    </row>
    <row r="90" s="52" customFormat="1" ht="56" customHeight="1" spans="1:8">
      <c r="A90" s="70">
        <v>3</v>
      </c>
      <c r="B90" s="71" t="s">
        <v>143</v>
      </c>
      <c r="C90" s="72" t="s">
        <v>144</v>
      </c>
      <c r="D90" s="73" t="s">
        <v>141</v>
      </c>
      <c r="E90" s="77">
        <f>G3+G13+G88+G89</f>
        <v>409032.3</v>
      </c>
      <c r="F90" s="93"/>
      <c r="G90" s="74">
        <f t="shared" si="12"/>
        <v>0</v>
      </c>
      <c r="H90" s="72" t="s">
        <v>145</v>
      </c>
    </row>
    <row r="91" s="52" customFormat="1" ht="40.5" spans="1:8">
      <c r="A91" s="70">
        <v>4</v>
      </c>
      <c r="B91" s="71" t="s">
        <v>146</v>
      </c>
      <c r="C91" s="72"/>
      <c r="D91" s="73" t="s">
        <v>141</v>
      </c>
      <c r="E91" s="77">
        <f>G3+G13+G88+G89</f>
        <v>409032.3</v>
      </c>
      <c r="F91" s="93"/>
      <c r="G91" s="74">
        <f t="shared" si="12"/>
        <v>0</v>
      </c>
      <c r="H91" s="72" t="s">
        <v>145</v>
      </c>
    </row>
    <row r="92" s="56" customFormat="1" ht="14.25" spans="1:8">
      <c r="A92" s="64" t="s">
        <v>147</v>
      </c>
      <c r="B92" s="68" t="s">
        <v>148</v>
      </c>
      <c r="C92" s="84" t="s">
        <v>149</v>
      </c>
      <c r="D92" s="68" t="s">
        <v>141</v>
      </c>
      <c r="E92" s="87"/>
      <c r="F92" s="94"/>
      <c r="G92" s="69">
        <f>G3+G13+G87</f>
        <v>409032.3</v>
      </c>
      <c r="H92" s="84"/>
    </row>
    <row r="93" s="54" customFormat="1" ht="13.5" spans="1:8">
      <c r="A93" s="64" t="s">
        <v>150</v>
      </c>
      <c r="B93" s="68" t="s">
        <v>151</v>
      </c>
      <c r="C93" s="84" t="s">
        <v>152</v>
      </c>
      <c r="D93" s="68" t="s">
        <v>141</v>
      </c>
      <c r="E93" s="87">
        <f>G92</f>
        <v>409032.3</v>
      </c>
      <c r="F93" s="95"/>
      <c r="G93" s="69">
        <f>E93*F93</f>
        <v>0</v>
      </c>
      <c r="H93" s="84" t="s">
        <v>153</v>
      </c>
    </row>
    <row r="94" s="54" customFormat="1" ht="13.5" spans="1:8">
      <c r="A94" s="64" t="s">
        <v>154</v>
      </c>
      <c r="B94" s="68" t="s">
        <v>155</v>
      </c>
      <c r="C94" s="68"/>
      <c r="D94" s="68"/>
      <c r="E94" s="96"/>
      <c r="F94" s="96"/>
      <c r="G94" s="69">
        <f>G92+G93</f>
        <v>409032.3</v>
      </c>
      <c r="H94" s="97"/>
    </row>
    <row r="95" s="52" customFormat="1" ht="115" customHeight="1" spans="1:8">
      <c r="A95" s="98" t="s">
        <v>156</v>
      </c>
      <c r="B95" s="99"/>
      <c r="C95" s="99"/>
      <c r="D95" s="99"/>
      <c r="E95" s="100"/>
      <c r="F95" s="100"/>
      <c r="G95" s="100"/>
      <c r="H95" s="99"/>
    </row>
    <row r="96" s="52" customFormat="1" customHeight="1" spans="1:7">
      <c r="A96" s="57"/>
      <c r="B96" s="58"/>
      <c r="D96" s="57"/>
      <c r="E96" s="59"/>
      <c r="F96" s="60"/>
      <c r="G96" s="60"/>
    </row>
    <row r="97" s="52" customFormat="1" customHeight="1" spans="1:7">
      <c r="A97" s="57"/>
      <c r="B97" s="58"/>
      <c r="D97" s="57"/>
      <c r="E97" s="59"/>
      <c r="F97" s="60"/>
      <c r="G97" s="60"/>
    </row>
    <row r="98" s="52" customFormat="1" customHeight="1" spans="1:7">
      <c r="A98" s="57"/>
      <c r="B98" s="58"/>
      <c r="D98" s="57"/>
      <c r="E98" s="59"/>
      <c r="F98" s="60"/>
      <c r="G98" s="60"/>
    </row>
    <row r="99" s="52" customFormat="1" customHeight="1" spans="1:7">
      <c r="A99" s="57"/>
      <c r="B99" s="58"/>
      <c r="D99" s="57"/>
      <c r="E99" s="59"/>
      <c r="F99" s="60"/>
      <c r="G99" s="60"/>
    </row>
    <row r="100" s="52" customFormat="1" customHeight="1" spans="1:7">
      <c r="A100" s="57"/>
      <c r="B100" s="58"/>
      <c r="D100" s="57"/>
      <c r="E100" s="59"/>
      <c r="F100" s="60"/>
      <c r="G100" s="60"/>
    </row>
    <row r="101" s="52" customFormat="1" customHeight="1" spans="1:7">
      <c r="A101" s="57"/>
      <c r="B101" s="58"/>
      <c r="D101" s="57"/>
      <c r="E101" s="59"/>
      <c r="F101" s="60"/>
      <c r="G101" s="60"/>
    </row>
    <row r="102" s="52" customFormat="1" customHeight="1" spans="1:7">
      <c r="A102" s="57"/>
      <c r="B102" s="58"/>
      <c r="D102" s="57"/>
      <c r="E102" s="59"/>
      <c r="F102" s="60"/>
      <c r="G102" s="60"/>
    </row>
    <row r="103" s="52" customFormat="1" customHeight="1" spans="1:7">
      <c r="A103" s="57"/>
      <c r="B103" s="58"/>
      <c r="D103" s="57"/>
      <c r="E103" s="59"/>
      <c r="F103" s="60"/>
      <c r="G103" s="60"/>
    </row>
    <row r="104" s="52" customFormat="1" customHeight="1" spans="1:7">
      <c r="A104" s="57"/>
      <c r="B104" s="58"/>
      <c r="D104" s="57"/>
      <c r="E104" s="59"/>
      <c r="F104" s="60"/>
      <c r="G104" s="60"/>
    </row>
    <row r="105" s="52" customFormat="1" customHeight="1" spans="1:7">
      <c r="A105" s="57"/>
      <c r="B105" s="58"/>
      <c r="D105" s="57"/>
      <c r="E105" s="59"/>
      <c r="F105" s="60"/>
      <c r="G105" s="60"/>
    </row>
    <row r="106" s="52" customFormat="1" customHeight="1" spans="1:7">
      <c r="A106" s="57"/>
      <c r="B106" s="58"/>
      <c r="D106" s="57"/>
      <c r="E106" s="59"/>
      <c r="F106" s="60"/>
      <c r="G106" s="60"/>
    </row>
    <row r="107" s="52" customFormat="1" customHeight="1" spans="1:7">
      <c r="A107" s="57"/>
      <c r="B107" s="58"/>
      <c r="D107" s="57"/>
      <c r="E107" s="59"/>
      <c r="F107" s="60"/>
      <c r="G107" s="60"/>
    </row>
    <row r="108" s="52" customFormat="1" customHeight="1" spans="1:7">
      <c r="A108" s="57"/>
      <c r="B108" s="58"/>
      <c r="D108" s="57"/>
      <c r="E108" s="59"/>
      <c r="F108" s="60"/>
      <c r="G108" s="60"/>
    </row>
    <row r="109" s="52" customFormat="1" customHeight="1" spans="1:7">
      <c r="A109" s="57"/>
      <c r="B109" s="58"/>
      <c r="D109" s="57"/>
      <c r="E109" s="59"/>
      <c r="F109" s="60"/>
      <c r="G109" s="60"/>
    </row>
    <row r="110" s="52" customFormat="1" customHeight="1" spans="1:7">
      <c r="A110" s="57"/>
      <c r="B110" s="58"/>
      <c r="D110" s="57"/>
      <c r="E110" s="59"/>
      <c r="F110" s="60"/>
      <c r="G110" s="60"/>
    </row>
    <row r="111" s="52" customFormat="1" customHeight="1" spans="1:7">
      <c r="A111" s="57"/>
      <c r="B111" s="58"/>
      <c r="D111" s="57"/>
      <c r="E111" s="59"/>
      <c r="F111" s="60"/>
      <c r="G111" s="60"/>
    </row>
    <row r="112" s="52" customFormat="1" customHeight="1" spans="1:7">
      <c r="A112" s="57"/>
      <c r="B112" s="58"/>
      <c r="D112" s="57"/>
      <c r="E112" s="59"/>
      <c r="F112" s="60"/>
      <c r="G112" s="60"/>
    </row>
    <row r="113" s="52" customFormat="1" customHeight="1" spans="1:7">
      <c r="A113" s="57"/>
      <c r="B113" s="58"/>
      <c r="D113" s="57"/>
      <c r="E113" s="59"/>
      <c r="F113" s="60"/>
      <c r="G113" s="60"/>
    </row>
    <row r="114" s="52" customFormat="1" customHeight="1" spans="1:7">
      <c r="A114" s="57"/>
      <c r="B114" s="58"/>
      <c r="D114" s="57"/>
      <c r="E114" s="59"/>
      <c r="F114" s="60"/>
      <c r="G114" s="60"/>
    </row>
    <row r="115" s="52" customFormat="1" customHeight="1" spans="1:7">
      <c r="A115" s="57"/>
      <c r="B115" s="58"/>
      <c r="D115" s="57"/>
      <c r="E115" s="59"/>
      <c r="F115" s="60"/>
      <c r="G115" s="60"/>
    </row>
    <row r="116" s="52" customFormat="1" customHeight="1" spans="1:7">
      <c r="A116" s="57"/>
      <c r="B116" s="58"/>
      <c r="D116" s="57"/>
      <c r="E116" s="59"/>
      <c r="F116" s="60"/>
      <c r="G116" s="60"/>
    </row>
    <row r="117" s="52" customFormat="1" customHeight="1" spans="1:7">
      <c r="A117" s="57"/>
      <c r="B117" s="58"/>
      <c r="D117" s="57"/>
      <c r="E117" s="59"/>
      <c r="F117" s="60"/>
      <c r="G117" s="60"/>
    </row>
    <row r="118" s="52" customFormat="1" customHeight="1" spans="1:7">
      <c r="A118" s="57"/>
      <c r="B118" s="58"/>
      <c r="D118" s="57"/>
      <c r="E118" s="59"/>
      <c r="F118" s="60"/>
      <c r="G118" s="60"/>
    </row>
    <row r="119" s="52" customFormat="1" customHeight="1" spans="1:7">
      <c r="A119" s="57"/>
      <c r="B119" s="58"/>
      <c r="C119" s="52"/>
      <c r="D119" s="57"/>
      <c r="E119" s="59"/>
      <c r="F119" s="60"/>
      <c r="G119" s="60"/>
    </row>
  </sheetData>
  <mergeCells count="3">
    <mergeCell ref="A1:H1"/>
    <mergeCell ref="B94:F94"/>
    <mergeCell ref="A95:H95"/>
  </mergeCells>
  <pageMargins left="0.700694444444445" right="0.700694444444445" top="0.751388888888889" bottom="0.751388888888889" header="0.297916666666667" footer="0.297916666666667"/>
  <pageSetup paperSize="9" orientation="landscape" horizontalDpi="600"/>
  <headerFooter>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D3" sqref="D3"/>
    </sheetView>
  </sheetViews>
  <sheetFormatPr defaultColWidth="9" defaultRowHeight="13.5" outlineLevelCol="2"/>
  <cols>
    <col min="1" max="1" width="22.625" customWidth="1"/>
    <col min="2" max="2" width="8.625" customWidth="1"/>
    <col min="3" max="3" width="45.625" customWidth="1"/>
  </cols>
  <sheetData>
    <row r="1" ht="82" customHeight="1" spans="1:3">
      <c r="A1" s="101" t="s">
        <v>157</v>
      </c>
      <c r="B1" s="102"/>
      <c r="C1" s="102"/>
    </row>
    <row r="2" ht="61" customHeight="1" spans="1:3">
      <c r="A2" s="103" t="s">
        <v>158</v>
      </c>
      <c r="B2" s="103"/>
      <c r="C2" s="103"/>
    </row>
    <row r="3" ht="72" customHeight="1" spans="1:3">
      <c r="A3" s="104" t="s">
        <v>159</v>
      </c>
      <c r="B3" s="105" t="s">
        <v>160</v>
      </c>
      <c r="C3" s="106">
        <f>限价!G92</f>
        <v>16383361.7478085</v>
      </c>
    </row>
    <row r="4" ht="41" customHeight="1" spans="1:3">
      <c r="A4" s="107" t="s">
        <v>161</v>
      </c>
      <c r="B4" s="108" t="s">
        <v>162</v>
      </c>
      <c r="C4" s="109">
        <f>C3</f>
        <v>16383361.7478085</v>
      </c>
    </row>
    <row r="5" ht="37" customHeight="1" spans="1:3">
      <c r="A5" s="104" t="s">
        <v>163</v>
      </c>
      <c r="B5" s="110" t="s">
        <v>160</v>
      </c>
      <c r="C5" s="106">
        <f>限价!G89</f>
        <v>409032.300396933</v>
      </c>
    </row>
    <row r="6" ht="43" customHeight="1" spans="1:3">
      <c r="A6" s="110"/>
      <c r="B6" s="110" t="s">
        <v>164</v>
      </c>
      <c r="C6" s="109">
        <f>C5</f>
        <v>409032.300396933</v>
      </c>
    </row>
    <row r="7" ht="14.25" spans="1:3">
      <c r="A7" s="111"/>
      <c r="B7" s="112"/>
      <c r="C7" s="112"/>
    </row>
    <row r="8" ht="14.25" spans="1:3">
      <c r="A8" s="112"/>
      <c r="B8" s="112"/>
      <c r="C8" s="112"/>
    </row>
    <row r="9" ht="14.25" spans="1:3">
      <c r="A9" s="112" t="s">
        <v>161</v>
      </c>
      <c r="B9" s="113" t="s">
        <v>161</v>
      </c>
      <c r="C9" s="113"/>
    </row>
    <row r="10" ht="84" customHeight="1" spans="1:3">
      <c r="A10" s="112" t="s">
        <v>165</v>
      </c>
      <c r="B10" s="114" t="s">
        <v>161</v>
      </c>
      <c r="C10" s="114"/>
    </row>
    <row r="11" ht="48" customHeight="1" spans="1:3">
      <c r="A11" s="112" t="s">
        <v>166</v>
      </c>
      <c r="B11" s="114"/>
      <c r="C11" s="114"/>
    </row>
    <row r="12" ht="42" customHeight="1" spans="1:3">
      <c r="A12" s="112" t="s">
        <v>167</v>
      </c>
      <c r="B12" s="114"/>
      <c r="C12" s="114"/>
    </row>
    <row r="13" ht="14.25" spans="1:3">
      <c r="A13" s="112" t="s">
        <v>161</v>
      </c>
      <c r="B13" s="115"/>
      <c r="C13" s="115"/>
    </row>
    <row r="14" ht="108" customHeight="1" spans="1:3">
      <c r="A14" s="107" t="s">
        <v>161</v>
      </c>
      <c r="B14" s="112" t="s">
        <v>168</v>
      </c>
      <c r="C14" s="112"/>
    </row>
  </sheetData>
  <mergeCells count="10">
    <mergeCell ref="A1:C1"/>
    <mergeCell ref="A2:C2"/>
    <mergeCell ref="B7:C7"/>
    <mergeCell ref="B8:C8"/>
    <mergeCell ref="B9:C9"/>
    <mergeCell ref="B10:C10"/>
    <mergeCell ref="B11:C11"/>
    <mergeCell ref="B12:C12"/>
    <mergeCell ref="B13:C13"/>
    <mergeCell ref="B14:C14"/>
  </mergeCells>
  <printOptions horizontalCentered="1"/>
  <pageMargins left="0" right="0" top="1" bottom="1"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9"/>
  <sheetViews>
    <sheetView workbookViewId="0">
      <selection activeCell="J71" sqref="J71"/>
    </sheetView>
  </sheetViews>
  <sheetFormatPr defaultColWidth="9" defaultRowHeight="15" customHeight="1" outlineLevelCol="7"/>
  <cols>
    <col min="1" max="1" width="7.25" style="57" customWidth="1"/>
    <col min="2" max="2" width="15.25" style="58" customWidth="1"/>
    <col min="3" max="3" width="35.625" style="52" customWidth="1"/>
    <col min="4" max="4" width="5.75" style="57" customWidth="1"/>
    <col min="5" max="5" width="11.625" style="59" customWidth="1"/>
    <col min="6" max="6" width="9.5" style="60" customWidth="1"/>
    <col min="7" max="7" width="15.625" style="60" customWidth="1"/>
    <col min="8" max="8" width="28.5" style="52" customWidth="1"/>
    <col min="9" max="16384" width="9" style="52"/>
  </cols>
  <sheetData>
    <row r="1" s="52" customFormat="1" ht="60" customHeight="1" spans="1:8">
      <c r="A1" s="61" t="s">
        <v>169</v>
      </c>
      <c r="B1" s="62"/>
      <c r="C1" s="62"/>
      <c r="D1" s="62"/>
      <c r="E1" s="63"/>
      <c r="F1" s="62"/>
      <c r="G1" s="62"/>
      <c r="H1" s="62"/>
    </row>
    <row r="2" s="53" customFormat="1" ht="27" spans="1:8">
      <c r="A2" s="64" t="s">
        <v>1</v>
      </c>
      <c r="B2" s="64" t="s">
        <v>2</v>
      </c>
      <c r="C2" s="64" t="s">
        <v>3</v>
      </c>
      <c r="D2" s="64" t="s">
        <v>4</v>
      </c>
      <c r="E2" s="65" t="s">
        <v>5</v>
      </c>
      <c r="F2" s="66" t="s">
        <v>6</v>
      </c>
      <c r="G2" s="67" t="s">
        <v>7</v>
      </c>
      <c r="H2" s="68" t="s">
        <v>8</v>
      </c>
    </row>
    <row r="3" s="53" customFormat="1" ht="13.5" spans="1:8">
      <c r="A3" s="64" t="s">
        <v>9</v>
      </c>
      <c r="B3" s="64" t="s">
        <v>10</v>
      </c>
      <c r="C3" s="64"/>
      <c r="D3" s="64"/>
      <c r="E3" s="69"/>
      <c r="F3" s="69"/>
      <c r="G3" s="69">
        <f>SUM(G4:G12)</f>
        <v>46145.4</v>
      </c>
      <c r="H3" s="68"/>
    </row>
    <row r="4" s="53" customFormat="1" ht="54" spans="1:8">
      <c r="A4" s="70">
        <v>1</v>
      </c>
      <c r="B4" s="71" t="s">
        <v>11</v>
      </c>
      <c r="C4" s="72" t="s">
        <v>12</v>
      </c>
      <c r="D4" s="73" t="s">
        <v>13</v>
      </c>
      <c r="E4" s="74">
        <v>120</v>
      </c>
      <c r="F4" s="74">
        <f>35*1.05</f>
        <v>36.75</v>
      </c>
      <c r="G4" s="74">
        <f t="shared" ref="G4:G12" si="0">E4*F4</f>
        <v>4410</v>
      </c>
      <c r="H4" s="72" t="s">
        <v>14</v>
      </c>
    </row>
    <row r="5" s="53" customFormat="1" ht="54" spans="1:8">
      <c r="A5" s="70">
        <v>2</v>
      </c>
      <c r="B5" s="71" t="s">
        <v>15</v>
      </c>
      <c r="C5" s="72" t="s">
        <v>16</v>
      </c>
      <c r="D5" s="73" t="s">
        <v>13</v>
      </c>
      <c r="E5" s="74">
        <v>120</v>
      </c>
      <c r="F5" s="74">
        <f>25*1.05</f>
        <v>26.25</v>
      </c>
      <c r="G5" s="74">
        <f t="shared" si="0"/>
        <v>3150</v>
      </c>
      <c r="H5" s="72" t="s">
        <v>14</v>
      </c>
    </row>
    <row r="6" s="53" customFormat="1" ht="54" spans="1:8">
      <c r="A6" s="70">
        <v>3</v>
      </c>
      <c r="B6" s="75" t="s">
        <v>17</v>
      </c>
      <c r="C6" s="71" t="s">
        <v>18</v>
      </c>
      <c r="D6" s="70" t="s">
        <v>19</v>
      </c>
      <c r="E6" s="74">
        <v>30</v>
      </c>
      <c r="F6" s="76">
        <f>75*1.05</f>
        <v>78.75</v>
      </c>
      <c r="G6" s="74">
        <f t="shared" si="0"/>
        <v>2362.5</v>
      </c>
      <c r="H6" s="71" t="s">
        <v>20</v>
      </c>
    </row>
    <row r="7" s="53" customFormat="1" ht="40.5" spans="1:8">
      <c r="A7" s="70">
        <v>4</v>
      </c>
      <c r="B7" s="75" t="s">
        <v>21</v>
      </c>
      <c r="C7" s="71" t="s">
        <v>22</v>
      </c>
      <c r="D7" s="73" t="s">
        <v>13</v>
      </c>
      <c r="E7" s="74">
        <v>26</v>
      </c>
      <c r="F7" s="76">
        <f>18*1.05</f>
        <v>18.9</v>
      </c>
      <c r="G7" s="74">
        <f t="shared" si="0"/>
        <v>491.4</v>
      </c>
      <c r="H7" s="71" t="s">
        <v>20</v>
      </c>
    </row>
    <row r="8" s="53" customFormat="1" ht="67.5" spans="1:8">
      <c r="A8" s="70">
        <v>5</v>
      </c>
      <c r="B8" s="75" t="s">
        <v>23</v>
      </c>
      <c r="C8" s="71" t="s">
        <v>24</v>
      </c>
      <c r="D8" s="70" t="s">
        <v>19</v>
      </c>
      <c r="E8" s="74">
        <v>12</v>
      </c>
      <c r="F8" s="76">
        <f>190*1.05</f>
        <v>199.5</v>
      </c>
      <c r="G8" s="74">
        <f t="shared" si="0"/>
        <v>2394</v>
      </c>
      <c r="H8" s="71" t="s">
        <v>20</v>
      </c>
    </row>
    <row r="9" s="53" customFormat="1" ht="40.5" spans="1:8">
      <c r="A9" s="70">
        <v>6</v>
      </c>
      <c r="B9" s="75" t="s">
        <v>25</v>
      </c>
      <c r="C9" s="71" t="s">
        <v>26</v>
      </c>
      <c r="D9" s="73" t="s">
        <v>13</v>
      </c>
      <c r="E9" s="74">
        <v>22</v>
      </c>
      <c r="F9" s="76">
        <f>45*1.05</f>
        <v>47.25</v>
      </c>
      <c r="G9" s="74">
        <f t="shared" si="0"/>
        <v>1039.5</v>
      </c>
      <c r="H9" s="71" t="s">
        <v>20</v>
      </c>
    </row>
    <row r="10" s="53" customFormat="1" ht="40.5" spans="1:8">
      <c r="A10" s="70">
        <v>7</v>
      </c>
      <c r="B10" s="75" t="s">
        <v>27</v>
      </c>
      <c r="C10" s="71" t="s">
        <v>28</v>
      </c>
      <c r="D10" s="73" t="s">
        <v>13</v>
      </c>
      <c r="E10" s="74">
        <v>120</v>
      </c>
      <c r="F10" s="76">
        <f>13*1.05</f>
        <v>13.65</v>
      </c>
      <c r="G10" s="74">
        <f t="shared" si="0"/>
        <v>1638</v>
      </c>
      <c r="H10" s="71" t="s">
        <v>20</v>
      </c>
    </row>
    <row r="11" s="53" customFormat="1" ht="27" spans="1:8">
      <c r="A11" s="70">
        <v>8</v>
      </c>
      <c r="B11" s="71" t="s">
        <v>29</v>
      </c>
      <c r="C11" s="72" t="s">
        <v>30</v>
      </c>
      <c r="D11" s="73" t="s">
        <v>13</v>
      </c>
      <c r="E11" s="77">
        <v>120</v>
      </c>
      <c r="F11" s="74">
        <f>35*1.05</f>
        <v>36.75</v>
      </c>
      <c r="G11" s="74">
        <f t="shared" si="0"/>
        <v>4410</v>
      </c>
      <c r="H11" s="71" t="s">
        <v>20</v>
      </c>
    </row>
    <row r="12" s="53" customFormat="1" ht="27" spans="1:8">
      <c r="A12" s="70">
        <v>9</v>
      </c>
      <c r="B12" s="75" t="s">
        <v>31</v>
      </c>
      <c r="C12" s="71" t="s">
        <v>32</v>
      </c>
      <c r="D12" s="70" t="s">
        <v>33</v>
      </c>
      <c r="E12" s="74">
        <v>1</v>
      </c>
      <c r="F12" s="76">
        <f>25000*1.05</f>
        <v>26250</v>
      </c>
      <c r="G12" s="74">
        <f t="shared" si="0"/>
        <v>26250</v>
      </c>
      <c r="H12" s="71" t="s">
        <v>20</v>
      </c>
    </row>
    <row r="13" s="53" customFormat="1" ht="13.5" spans="1:8">
      <c r="A13" s="64" t="s">
        <v>34</v>
      </c>
      <c r="B13" s="78" t="s">
        <v>35</v>
      </c>
      <c r="C13" s="68"/>
      <c r="D13" s="64"/>
      <c r="E13" s="69"/>
      <c r="F13" s="79"/>
      <c r="G13" s="69">
        <f>G14+G22+G30+G38+G45+G52+G56+G64+G70+G74+G78+G85</f>
        <v>13634410.0132311</v>
      </c>
      <c r="H13" s="68"/>
    </row>
    <row r="14" s="53" customFormat="1" ht="13.5" spans="1:8">
      <c r="A14" s="64" t="s">
        <v>36</v>
      </c>
      <c r="B14" s="64" t="s">
        <v>37</v>
      </c>
      <c r="C14" s="64"/>
      <c r="D14" s="64"/>
      <c r="E14" s="69"/>
      <c r="F14" s="79"/>
      <c r="G14" s="69">
        <f>SUM(G15:G21)</f>
        <v>1222242.9476166</v>
      </c>
      <c r="H14" s="68"/>
    </row>
    <row r="15" s="52" customFormat="1" ht="108" spans="1:8">
      <c r="A15" s="70">
        <v>1</v>
      </c>
      <c r="B15" s="80" t="s">
        <v>38</v>
      </c>
      <c r="C15" s="80" t="s">
        <v>39</v>
      </c>
      <c r="D15" s="81" t="s">
        <v>19</v>
      </c>
      <c r="E15" s="82">
        <v>3890</v>
      </c>
      <c r="F15" s="83">
        <f>80.9*93%*1.05</f>
        <v>78.99885</v>
      </c>
      <c r="G15" s="74">
        <f t="shared" ref="G15:G21" si="1">E15*F15</f>
        <v>307305.5265</v>
      </c>
      <c r="H15" s="72" t="s">
        <v>40</v>
      </c>
    </row>
    <row r="16" s="52" customFormat="1" ht="94.5" spans="1:8">
      <c r="A16" s="70">
        <v>2</v>
      </c>
      <c r="B16" s="80" t="s">
        <v>41</v>
      </c>
      <c r="C16" s="80" t="s">
        <v>42</v>
      </c>
      <c r="D16" s="81" t="s">
        <v>19</v>
      </c>
      <c r="E16" s="82">
        <v>1009.8</v>
      </c>
      <c r="F16" s="83">
        <f>170.29*93%*1.05</f>
        <v>166.288185</v>
      </c>
      <c r="G16" s="74">
        <f t="shared" si="1"/>
        <v>167917.809213</v>
      </c>
      <c r="H16" s="72" t="s">
        <v>40</v>
      </c>
    </row>
    <row r="17" s="53" customFormat="1" ht="108" spans="1:8">
      <c r="A17" s="70">
        <v>3</v>
      </c>
      <c r="B17" s="80" t="s">
        <v>43</v>
      </c>
      <c r="C17" s="80" t="s">
        <v>44</v>
      </c>
      <c r="D17" s="81" t="s">
        <v>19</v>
      </c>
      <c r="E17" s="82">
        <v>875.16</v>
      </c>
      <c r="F17" s="83">
        <f>59.74*93%*1.05</f>
        <v>58.33611</v>
      </c>
      <c r="G17" s="74">
        <f t="shared" si="1"/>
        <v>51053.4300276</v>
      </c>
      <c r="H17" s="72" t="s">
        <v>40</v>
      </c>
    </row>
    <row r="18" s="52" customFormat="1" ht="108" spans="1:8">
      <c r="A18" s="70">
        <v>4</v>
      </c>
      <c r="B18" s="80" t="s">
        <v>45</v>
      </c>
      <c r="C18" s="80" t="s">
        <v>46</v>
      </c>
      <c r="D18" s="81" t="s">
        <v>19</v>
      </c>
      <c r="E18" s="82">
        <v>5</v>
      </c>
      <c r="F18" s="83">
        <f>100.6*93%*1.05</f>
        <v>98.2359</v>
      </c>
      <c r="G18" s="74">
        <f t="shared" si="1"/>
        <v>491.1795</v>
      </c>
      <c r="H18" s="72" t="s">
        <v>40</v>
      </c>
    </row>
    <row r="19" s="52" customFormat="1" ht="81" spans="1:8">
      <c r="A19" s="70">
        <v>5</v>
      </c>
      <c r="B19" s="80" t="s">
        <v>47</v>
      </c>
      <c r="C19" s="80" t="s">
        <v>48</v>
      </c>
      <c r="D19" s="81" t="s">
        <v>19</v>
      </c>
      <c r="E19" s="82">
        <v>7584.96</v>
      </c>
      <c r="F19" s="83">
        <f>52.02*93%*1.05</f>
        <v>50.79753</v>
      </c>
      <c r="G19" s="74">
        <f t="shared" si="1"/>
        <v>385297.2331488</v>
      </c>
      <c r="H19" s="72" t="s">
        <v>40</v>
      </c>
    </row>
    <row r="20" s="52" customFormat="1" ht="162" spans="1:8">
      <c r="A20" s="70">
        <v>6</v>
      </c>
      <c r="B20" s="80" t="s">
        <v>49</v>
      </c>
      <c r="C20" s="80" t="s">
        <v>50</v>
      </c>
      <c r="D20" s="81" t="s">
        <v>19</v>
      </c>
      <c r="E20" s="82">
        <v>7584.96</v>
      </c>
      <c r="F20" s="83">
        <f>29.63*93%*1.05</f>
        <v>28.933695</v>
      </c>
      <c r="G20" s="74">
        <f t="shared" si="1"/>
        <v>219460.9192272</v>
      </c>
      <c r="H20" s="72" t="s">
        <v>40</v>
      </c>
    </row>
    <row r="21" s="52" customFormat="1" ht="121.5" spans="1:8">
      <c r="A21" s="70">
        <v>7</v>
      </c>
      <c r="B21" s="80" t="s">
        <v>51</v>
      </c>
      <c r="C21" s="80" t="s">
        <v>52</v>
      </c>
      <c r="D21" s="81" t="s">
        <v>53</v>
      </c>
      <c r="E21" s="82">
        <v>10000</v>
      </c>
      <c r="F21" s="83">
        <f>9.29*93%*1.05</f>
        <v>9.071685</v>
      </c>
      <c r="G21" s="74">
        <f t="shared" si="1"/>
        <v>90716.85</v>
      </c>
      <c r="H21" s="72" t="s">
        <v>40</v>
      </c>
    </row>
    <row r="22" s="54" customFormat="1" ht="13.5" spans="1:8">
      <c r="A22" s="64" t="s">
        <v>54</v>
      </c>
      <c r="B22" s="68" t="s">
        <v>55</v>
      </c>
      <c r="C22" s="84"/>
      <c r="D22" s="64"/>
      <c r="E22" s="69"/>
      <c r="F22" s="85"/>
      <c r="G22" s="69">
        <f>SUM(G23:G29)</f>
        <v>1528620.85614</v>
      </c>
      <c r="H22" s="84"/>
    </row>
    <row r="23" s="52" customFormat="1" ht="162" spans="1:8">
      <c r="A23" s="70">
        <v>1</v>
      </c>
      <c r="B23" s="80" t="s">
        <v>56</v>
      </c>
      <c r="C23" s="80" t="s">
        <v>57</v>
      </c>
      <c r="D23" s="81" t="s">
        <v>19</v>
      </c>
      <c r="E23" s="82">
        <v>1119.46</v>
      </c>
      <c r="F23" s="86">
        <f>407.58*1.05</f>
        <v>427.959</v>
      </c>
      <c r="G23" s="74">
        <f t="shared" ref="G23:G29" si="2">E23*F23</f>
        <v>479082.98214</v>
      </c>
      <c r="H23" s="72" t="s">
        <v>40</v>
      </c>
    </row>
    <row r="24" s="52" customFormat="1" ht="121.5" spans="1:8">
      <c r="A24" s="70">
        <v>2</v>
      </c>
      <c r="B24" s="80" t="s">
        <v>58</v>
      </c>
      <c r="C24" s="80" t="s">
        <v>59</v>
      </c>
      <c r="D24" s="81" t="s">
        <v>60</v>
      </c>
      <c r="E24" s="82">
        <v>210</v>
      </c>
      <c r="F24" s="86">
        <f>1069.37*1.05</f>
        <v>1122.8385</v>
      </c>
      <c r="G24" s="74">
        <f t="shared" si="2"/>
        <v>235796.085</v>
      </c>
      <c r="H24" s="72" t="s">
        <v>40</v>
      </c>
    </row>
    <row r="25" s="52" customFormat="1" ht="189" spans="1:8">
      <c r="A25" s="70">
        <v>3</v>
      </c>
      <c r="B25" s="80" t="s">
        <v>61</v>
      </c>
      <c r="C25" s="80" t="s">
        <v>62</v>
      </c>
      <c r="D25" s="81" t="s">
        <v>63</v>
      </c>
      <c r="E25" s="82">
        <v>3183</v>
      </c>
      <c r="F25" s="86">
        <f>45.46*1.05</f>
        <v>47.733</v>
      </c>
      <c r="G25" s="74">
        <f t="shared" si="2"/>
        <v>151934.139</v>
      </c>
      <c r="H25" s="72" t="s">
        <v>40</v>
      </c>
    </row>
    <row r="26" s="52" customFormat="1" ht="189" spans="1:8">
      <c r="A26" s="70">
        <v>4</v>
      </c>
      <c r="B26" s="80" t="s">
        <v>64</v>
      </c>
      <c r="C26" s="80" t="s">
        <v>65</v>
      </c>
      <c r="D26" s="81" t="s">
        <v>63</v>
      </c>
      <c r="E26" s="82">
        <v>680</v>
      </c>
      <c r="F26" s="86">
        <f>42.89*1.05</f>
        <v>45.0345</v>
      </c>
      <c r="G26" s="74">
        <f t="shared" si="2"/>
        <v>30623.46</v>
      </c>
      <c r="H26" s="72" t="s">
        <v>40</v>
      </c>
    </row>
    <row r="27" s="52" customFormat="1" ht="189" spans="1:8">
      <c r="A27" s="70">
        <v>5</v>
      </c>
      <c r="B27" s="80" t="s">
        <v>66</v>
      </c>
      <c r="C27" s="80" t="s">
        <v>67</v>
      </c>
      <c r="D27" s="81" t="s">
        <v>63</v>
      </c>
      <c r="E27" s="82">
        <v>332</v>
      </c>
      <c r="F27" s="86">
        <f>41.65*1.05</f>
        <v>43.7325</v>
      </c>
      <c r="G27" s="74">
        <f t="shared" si="2"/>
        <v>14519.19</v>
      </c>
      <c r="H27" s="72" t="s">
        <v>40</v>
      </c>
    </row>
    <row r="28" s="52" customFormat="1" ht="148.5" spans="1:8">
      <c r="A28" s="70">
        <v>6</v>
      </c>
      <c r="B28" s="80" t="s">
        <v>68</v>
      </c>
      <c r="C28" s="80" t="s">
        <v>69</v>
      </c>
      <c r="D28" s="81" t="s">
        <v>13</v>
      </c>
      <c r="E28" s="82">
        <v>5000</v>
      </c>
      <c r="F28" s="86">
        <f>84.66*1.05</f>
        <v>88.893</v>
      </c>
      <c r="G28" s="74">
        <f t="shared" si="2"/>
        <v>444465</v>
      </c>
      <c r="H28" s="72" t="s">
        <v>40</v>
      </c>
    </row>
    <row r="29" s="52" customFormat="1" ht="162" spans="1:8">
      <c r="A29" s="70">
        <v>7</v>
      </c>
      <c r="B29" s="80" t="s">
        <v>70</v>
      </c>
      <c r="C29" s="80" t="s">
        <v>71</v>
      </c>
      <c r="D29" s="81" t="s">
        <v>63</v>
      </c>
      <c r="E29" s="82">
        <v>2000</v>
      </c>
      <c r="F29" s="86">
        <f>82*1.05</f>
        <v>86.1</v>
      </c>
      <c r="G29" s="74">
        <f t="shared" si="2"/>
        <v>172200</v>
      </c>
      <c r="H29" s="72" t="s">
        <v>40</v>
      </c>
    </row>
    <row r="30" s="54" customFormat="1" ht="13.5" spans="1:8">
      <c r="A30" s="64" t="s">
        <v>72</v>
      </c>
      <c r="B30" s="68" t="s">
        <v>73</v>
      </c>
      <c r="C30" s="84"/>
      <c r="D30" s="68"/>
      <c r="E30" s="87"/>
      <c r="F30" s="85"/>
      <c r="G30" s="69">
        <f>SUM(G31:G37)</f>
        <v>1788862.22382</v>
      </c>
      <c r="H30" s="84"/>
    </row>
    <row r="31" s="52" customFormat="1" ht="162" spans="1:8">
      <c r="A31" s="70">
        <v>1</v>
      </c>
      <c r="B31" s="80" t="s">
        <v>74</v>
      </c>
      <c r="C31" s="80" t="s">
        <v>75</v>
      </c>
      <c r="D31" s="81" t="s">
        <v>19</v>
      </c>
      <c r="E31" s="82">
        <v>618</v>
      </c>
      <c r="F31" s="86">
        <f>480.16*1.05</f>
        <v>504.168</v>
      </c>
      <c r="G31" s="74">
        <f t="shared" ref="G31:G37" si="3">E31*F31</f>
        <v>311575.824</v>
      </c>
      <c r="H31" s="72" t="s">
        <v>40</v>
      </c>
    </row>
    <row r="32" s="52" customFormat="1" ht="108" spans="1:8">
      <c r="A32" s="70">
        <v>2</v>
      </c>
      <c r="B32" s="80" t="s">
        <v>76</v>
      </c>
      <c r="C32" s="80" t="s">
        <v>77</v>
      </c>
      <c r="D32" s="81" t="s">
        <v>19</v>
      </c>
      <c r="E32" s="82">
        <v>798.6</v>
      </c>
      <c r="F32" s="86">
        <f>194.2*1.05</f>
        <v>203.91</v>
      </c>
      <c r="G32" s="74">
        <f t="shared" si="3"/>
        <v>162842.526</v>
      </c>
      <c r="H32" s="72" t="s">
        <v>40</v>
      </c>
    </row>
    <row r="33" s="52" customFormat="1" ht="108" spans="1:8">
      <c r="A33" s="70">
        <v>3</v>
      </c>
      <c r="B33" s="80" t="s">
        <v>78</v>
      </c>
      <c r="C33" s="80" t="s">
        <v>79</v>
      </c>
      <c r="D33" s="81" t="s">
        <v>19</v>
      </c>
      <c r="E33" s="82">
        <v>1534.44</v>
      </c>
      <c r="F33" s="86">
        <f>124.07*1.05</f>
        <v>130.2735</v>
      </c>
      <c r="G33" s="74">
        <f t="shared" si="3"/>
        <v>199896.86934</v>
      </c>
      <c r="H33" s="72" t="s">
        <v>40</v>
      </c>
    </row>
    <row r="34" s="52" customFormat="1" ht="108" spans="1:8">
      <c r="A34" s="70">
        <v>4</v>
      </c>
      <c r="B34" s="80" t="s">
        <v>80</v>
      </c>
      <c r="C34" s="80" t="s">
        <v>81</v>
      </c>
      <c r="D34" s="81" t="s">
        <v>19</v>
      </c>
      <c r="E34" s="82">
        <v>161.5</v>
      </c>
      <c r="F34" s="86">
        <f>273.31*1.05</f>
        <v>286.9755</v>
      </c>
      <c r="G34" s="74">
        <f t="shared" si="3"/>
        <v>46346.54325</v>
      </c>
      <c r="H34" s="72" t="s">
        <v>40</v>
      </c>
    </row>
    <row r="35" s="52" customFormat="1" ht="121.5" spans="1:8">
      <c r="A35" s="70">
        <v>5</v>
      </c>
      <c r="B35" s="80" t="s">
        <v>58</v>
      </c>
      <c r="C35" s="80" t="s">
        <v>59</v>
      </c>
      <c r="D35" s="81" t="s">
        <v>60</v>
      </c>
      <c r="E35" s="82">
        <v>383.98</v>
      </c>
      <c r="F35" s="86">
        <f>1069.37*1.05</f>
        <v>1122.8385</v>
      </c>
      <c r="G35" s="74">
        <f t="shared" si="3"/>
        <v>431147.52723</v>
      </c>
      <c r="H35" s="72" t="s">
        <v>40</v>
      </c>
    </row>
    <row r="36" s="52" customFormat="1" ht="148.5" spans="1:8">
      <c r="A36" s="70">
        <v>6</v>
      </c>
      <c r="B36" s="80" t="s">
        <v>68</v>
      </c>
      <c r="C36" s="80" t="s">
        <v>69</v>
      </c>
      <c r="D36" s="81" t="s">
        <v>13</v>
      </c>
      <c r="E36" s="82">
        <v>4038</v>
      </c>
      <c r="F36" s="86">
        <f>84.66*1.05</f>
        <v>88.893</v>
      </c>
      <c r="G36" s="74">
        <f t="shared" si="3"/>
        <v>358949.934</v>
      </c>
      <c r="H36" s="72" t="s">
        <v>40</v>
      </c>
    </row>
    <row r="37" s="52" customFormat="1" ht="162" spans="1:8">
      <c r="A37" s="70">
        <v>7</v>
      </c>
      <c r="B37" s="80" t="s">
        <v>70</v>
      </c>
      <c r="C37" s="80" t="s">
        <v>71</v>
      </c>
      <c r="D37" s="81" t="s">
        <v>63</v>
      </c>
      <c r="E37" s="82">
        <v>3230</v>
      </c>
      <c r="F37" s="86">
        <f>82*1.05</f>
        <v>86.1</v>
      </c>
      <c r="G37" s="74">
        <f t="shared" si="3"/>
        <v>278103</v>
      </c>
      <c r="H37" s="72" t="s">
        <v>40</v>
      </c>
    </row>
    <row r="38" s="54" customFormat="1" ht="13.5" spans="1:8">
      <c r="A38" s="64" t="s">
        <v>82</v>
      </c>
      <c r="B38" s="68" t="s">
        <v>83</v>
      </c>
      <c r="C38" s="84"/>
      <c r="D38" s="68"/>
      <c r="E38" s="87"/>
      <c r="F38" s="85"/>
      <c r="G38" s="69">
        <f>SUM(G39:G44)</f>
        <v>21424.144245</v>
      </c>
      <c r="H38" s="84"/>
    </row>
    <row r="39" s="52" customFormat="1" ht="162" spans="1:8">
      <c r="A39" s="70">
        <v>1</v>
      </c>
      <c r="B39" s="80" t="s">
        <v>84</v>
      </c>
      <c r="C39" s="80" t="s">
        <v>85</v>
      </c>
      <c r="D39" s="81" t="s">
        <v>19</v>
      </c>
      <c r="E39" s="82">
        <v>15.78</v>
      </c>
      <c r="F39" s="86">
        <f>531.18*1.05</f>
        <v>557.739</v>
      </c>
      <c r="G39" s="74">
        <f t="shared" ref="G39:G44" si="4">E39*F39</f>
        <v>8801.12142</v>
      </c>
      <c r="H39" s="72" t="s">
        <v>40</v>
      </c>
    </row>
    <row r="40" s="52" customFormat="1" ht="121.5" spans="1:8">
      <c r="A40" s="70">
        <v>2</v>
      </c>
      <c r="B40" s="80" t="s">
        <v>86</v>
      </c>
      <c r="C40" s="80" t="s">
        <v>87</v>
      </c>
      <c r="D40" s="81" t="s">
        <v>19</v>
      </c>
      <c r="E40" s="82">
        <v>0.86</v>
      </c>
      <c r="F40" s="86">
        <f>630.72*1.05</f>
        <v>662.256</v>
      </c>
      <c r="G40" s="74">
        <f t="shared" si="4"/>
        <v>569.54016</v>
      </c>
      <c r="H40" s="72" t="s">
        <v>40</v>
      </c>
    </row>
    <row r="41" s="52" customFormat="1" ht="121.5" spans="1:8">
      <c r="A41" s="70">
        <v>3</v>
      </c>
      <c r="B41" s="80" t="s">
        <v>58</v>
      </c>
      <c r="C41" s="80" t="s">
        <v>59</v>
      </c>
      <c r="D41" s="81" t="s">
        <v>60</v>
      </c>
      <c r="E41" s="82">
        <v>2.73</v>
      </c>
      <c r="F41" s="86">
        <f>1069.37*1.05</f>
        <v>1122.8385</v>
      </c>
      <c r="G41" s="74">
        <f t="shared" si="4"/>
        <v>3065.349105</v>
      </c>
      <c r="H41" s="72" t="s">
        <v>40</v>
      </c>
    </row>
    <row r="42" s="52" customFormat="1" ht="189" spans="1:8">
      <c r="A42" s="70">
        <v>4</v>
      </c>
      <c r="B42" s="80" t="s">
        <v>61</v>
      </c>
      <c r="C42" s="80" t="s">
        <v>62</v>
      </c>
      <c r="D42" s="81" t="s">
        <v>63</v>
      </c>
      <c r="E42" s="82">
        <v>31.84</v>
      </c>
      <c r="F42" s="86">
        <f>45.07*1.05</f>
        <v>47.3235</v>
      </c>
      <c r="G42" s="74">
        <f t="shared" si="4"/>
        <v>1506.78024</v>
      </c>
      <c r="H42" s="72" t="s">
        <v>40</v>
      </c>
    </row>
    <row r="43" s="52" customFormat="1" ht="162" spans="1:8">
      <c r="A43" s="70">
        <v>5</v>
      </c>
      <c r="B43" s="80" t="s">
        <v>70</v>
      </c>
      <c r="C43" s="80" t="s">
        <v>71</v>
      </c>
      <c r="D43" s="81" t="s">
        <v>63</v>
      </c>
      <c r="E43" s="82">
        <v>21.6</v>
      </c>
      <c r="F43" s="86">
        <f>82*1.05</f>
        <v>86.1</v>
      </c>
      <c r="G43" s="74">
        <f t="shared" si="4"/>
        <v>1859.76</v>
      </c>
      <c r="H43" s="72" t="s">
        <v>40</v>
      </c>
    </row>
    <row r="44" s="52" customFormat="1" ht="148.5" spans="1:8">
      <c r="A44" s="70">
        <v>6</v>
      </c>
      <c r="B44" s="80" t="s">
        <v>68</v>
      </c>
      <c r="C44" s="80" t="s">
        <v>69</v>
      </c>
      <c r="D44" s="81" t="s">
        <v>13</v>
      </c>
      <c r="E44" s="82">
        <v>63.24</v>
      </c>
      <c r="F44" s="86">
        <f>84.66*1.05</f>
        <v>88.893</v>
      </c>
      <c r="G44" s="74">
        <f t="shared" si="4"/>
        <v>5621.59332</v>
      </c>
      <c r="H44" s="72" t="s">
        <v>40</v>
      </c>
    </row>
    <row r="45" s="54" customFormat="1" ht="13.5" spans="1:8">
      <c r="A45" s="64" t="s">
        <v>88</v>
      </c>
      <c r="B45" s="68" t="s">
        <v>89</v>
      </c>
      <c r="C45" s="84"/>
      <c r="D45" s="68"/>
      <c r="E45" s="87"/>
      <c r="F45" s="85"/>
      <c r="G45" s="69">
        <f>SUM(G46:G51)</f>
        <v>167031.252465</v>
      </c>
      <c r="H45" s="84"/>
    </row>
    <row r="46" s="52" customFormat="1" ht="162" spans="1:8">
      <c r="A46" s="70">
        <v>1</v>
      </c>
      <c r="B46" s="80" t="s">
        <v>90</v>
      </c>
      <c r="C46" s="80" t="s">
        <v>91</v>
      </c>
      <c r="D46" s="81" t="s">
        <v>19</v>
      </c>
      <c r="E46" s="82">
        <v>97</v>
      </c>
      <c r="F46" s="86">
        <f>383.87*1.05</f>
        <v>403.0635</v>
      </c>
      <c r="G46" s="74">
        <f t="shared" ref="G46:G51" si="5">E46*F46</f>
        <v>39097.1595</v>
      </c>
      <c r="H46" s="72" t="s">
        <v>40</v>
      </c>
    </row>
    <row r="47" s="52" customFormat="1" ht="121.5" spans="1:8">
      <c r="A47" s="70">
        <v>2</v>
      </c>
      <c r="B47" s="80" t="s">
        <v>58</v>
      </c>
      <c r="C47" s="80" t="s">
        <v>59</v>
      </c>
      <c r="D47" s="81" t="s">
        <v>60</v>
      </c>
      <c r="E47" s="82">
        <v>27.99</v>
      </c>
      <c r="F47" s="86">
        <f>1069.37*1.05</f>
        <v>1122.8385</v>
      </c>
      <c r="G47" s="74">
        <f t="shared" si="5"/>
        <v>31428.249615</v>
      </c>
      <c r="H47" s="72" t="s">
        <v>40</v>
      </c>
    </row>
    <row r="48" s="52" customFormat="1" ht="148.5" spans="1:8">
      <c r="A48" s="70">
        <v>3</v>
      </c>
      <c r="B48" s="80" t="s">
        <v>68</v>
      </c>
      <c r="C48" s="80" t="s">
        <v>69</v>
      </c>
      <c r="D48" s="81" t="s">
        <v>13</v>
      </c>
      <c r="E48" s="82">
        <v>321.65</v>
      </c>
      <c r="F48" s="86">
        <f>84.66*1.05</f>
        <v>88.893</v>
      </c>
      <c r="G48" s="74">
        <f t="shared" si="5"/>
        <v>28592.43345</v>
      </c>
      <c r="H48" s="72" t="s">
        <v>40</v>
      </c>
    </row>
    <row r="49" s="52" customFormat="1" ht="108" spans="1:8">
      <c r="A49" s="70">
        <v>4</v>
      </c>
      <c r="B49" s="80" t="s">
        <v>76</v>
      </c>
      <c r="C49" s="80" t="s">
        <v>77</v>
      </c>
      <c r="D49" s="81" t="s">
        <v>19</v>
      </c>
      <c r="E49" s="82">
        <v>92.2</v>
      </c>
      <c r="F49" s="86">
        <f>215.39*1.05</f>
        <v>226.1595</v>
      </c>
      <c r="G49" s="74">
        <f t="shared" si="5"/>
        <v>20851.9059</v>
      </c>
      <c r="H49" s="72" t="s">
        <v>40</v>
      </c>
    </row>
    <row r="50" s="52" customFormat="1" ht="162" spans="1:8">
      <c r="A50" s="70">
        <v>5</v>
      </c>
      <c r="B50" s="80" t="s">
        <v>70</v>
      </c>
      <c r="C50" s="80" t="s">
        <v>71</v>
      </c>
      <c r="D50" s="81" t="s">
        <v>63</v>
      </c>
      <c r="E50" s="82">
        <v>288</v>
      </c>
      <c r="F50" s="86">
        <f>82*1.05</f>
        <v>86.1</v>
      </c>
      <c r="G50" s="74">
        <f t="shared" si="5"/>
        <v>24796.8</v>
      </c>
      <c r="H50" s="72" t="s">
        <v>40</v>
      </c>
    </row>
    <row r="51" s="52" customFormat="1" ht="108" spans="1:8">
      <c r="A51" s="70">
        <v>6</v>
      </c>
      <c r="B51" s="80" t="s">
        <v>78</v>
      </c>
      <c r="C51" s="80" t="s">
        <v>79</v>
      </c>
      <c r="D51" s="81" t="s">
        <v>19</v>
      </c>
      <c r="E51" s="82">
        <v>96</v>
      </c>
      <c r="F51" s="86">
        <f>220.88*1.05</f>
        <v>231.924</v>
      </c>
      <c r="G51" s="74">
        <f t="shared" si="5"/>
        <v>22264.704</v>
      </c>
      <c r="H51" s="72" t="s">
        <v>40</v>
      </c>
    </row>
    <row r="52" s="54" customFormat="1" ht="13.5" spans="1:8">
      <c r="A52" s="64" t="s">
        <v>92</v>
      </c>
      <c r="B52" s="68" t="s">
        <v>93</v>
      </c>
      <c r="C52" s="84"/>
      <c r="D52" s="68"/>
      <c r="E52" s="87"/>
      <c r="F52" s="85"/>
      <c r="G52" s="69">
        <f>SUM(G53:G55)</f>
        <v>220782.342375</v>
      </c>
      <c r="H52" s="84"/>
    </row>
    <row r="53" s="52" customFormat="1" ht="243" spans="1:8">
      <c r="A53" s="70">
        <v>1</v>
      </c>
      <c r="B53" s="80" t="s">
        <v>94</v>
      </c>
      <c r="C53" s="80" t="s">
        <v>95</v>
      </c>
      <c r="D53" s="81" t="s">
        <v>19</v>
      </c>
      <c r="E53" s="82">
        <v>845.75</v>
      </c>
      <c r="F53" s="86">
        <f>234.73*1.05</f>
        <v>246.4665</v>
      </c>
      <c r="G53" s="74">
        <f t="shared" ref="G53:G55" si="6">E53*F53</f>
        <v>208449.042375</v>
      </c>
      <c r="H53" s="72" t="s">
        <v>40</v>
      </c>
    </row>
    <row r="54" s="52" customFormat="1" ht="162" spans="1:8">
      <c r="A54" s="70">
        <v>2</v>
      </c>
      <c r="B54" s="80" t="s">
        <v>70</v>
      </c>
      <c r="C54" s="80" t="s">
        <v>71</v>
      </c>
      <c r="D54" s="81" t="s">
        <v>63</v>
      </c>
      <c r="E54" s="82">
        <v>40</v>
      </c>
      <c r="F54" s="86">
        <f>82*1.05</f>
        <v>86.1</v>
      </c>
      <c r="G54" s="74">
        <f t="shared" si="6"/>
        <v>3444</v>
      </c>
      <c r="H54" s="72" t="s">
        <v>40</v>
      </c>
    </row>
    <row r="55" s="52" customFormat="1" ht="148.5" spans="1:8">
      <c r="A55" s="70">
        <v>3</v>
      </c>
      <c r="B55" s="80" t="s">
        <v>68</v>
      </c>
      <c r="C55" s="80" t="s">
        <v>69</v>
      </c>
      <c r="D55" s="81" t="s">
        <v>13</v>
      </c>
      <c r="E55" s="82">
        <v>100</v>
      </c>
      <c r="F55" s="86">
        <f>84.66*1.05</f>
        <v>88.893</v>
      </c>
      <c r="G55" s="74">
        <f t="shared" si="6"/>
        <v>8889.3</v>
      </c>
      <c r="H55" s="72" t="s">
        <v>40</v>
      </c>
    </row>
    <row r="56" s="54" customFormat="1" ht="13.5" spans="1:8">
      <c r="A56" s="64" t="s">
        <v>96</v>
      </c>
      <c r="B56" s="68" t="s">
        <v>97</v>
      </c>
      <c r="C56" s="84"/>
      <c r="D56" s="68"/>
      <c r="E56" s="87"/>
      <c r="F56" s="85"/>
      <c r="G56" s="69">
        <f>SUM(G57:G63)</f>
        <v>157039.2241845</v>
      </c>
      <c r="H56" s="84"/>
    </row>
    <row r="57" s="52" customFormat="1" ht="162" spans="1:8">
      <c r="A57" s="70">
        <v>1</v>
      </c>
      <c r="B57" s="80" t="s">
        <v>98</v>
      </c>
      <c r="C57" s="80" t="s">
        <v>99</v>
      </c>
      <c r="D57" s="81" t="s">
        <v>19</v>
      </c>
      <c r="E57" s="82">
        <v>110.77</v>
      </c>
      <c r="F57" s="86">
        <f>383.87*1.05</f>
        <v>403.0635</v>
      </c>
      <c r="G57" s="74">
        <f t="shared" ref="G57:G63" si="7">E57*F57</f>
        <v>44647.343895</v>
      </c>
      <c r="H57" s="72" t="s">
        <v>40</v>
      </c>
    </row>
    <row r="58" s="52" customFormat="1" ht="108" spans="1:8">
      <c r="A58" s="70">
        <v>2</v>
      </c>
      <c r="B58" s="80" t="s">
        <v>76</v>
      </c>
      <c r="C58" s="80" t="s">
        <v>77</v>
      </c>
      <c r="D58" s="81" t="s">
        <v>19</v>
      </c>
      <c r="E58" s="82">
        <v>32.4</v>
      </c>
      <c r="F58" s="86">
        <f>410.02*1.05</f>
        <v>430.521</v>
      </c>
      <c r="G58" s="74">
        <f t="shared" si="7"/>
        <v>13948.8804</v>
      </c>
      <c r="H58" s="72" t="s">
        <v>40</v>
      </c>
    </row>
    <row r="59" s="52" customFormat="1" ht="108" spans="1:8">
      <c r="A59" s="70">
        <v>3</v>
      </c>
      <c r="B59" s="80" t="s">
        <v>78</v>
      </c>
      <c r="C59" s="80" t="s">
        <v>79</v>
      </c>
      <c r="D59" s="81" t="s">
        <v>19</v>
      </c>
      <c r="E59" s="82">
        <v>33.75</v>
      </c>
      <c r="F59" s="86">
        <f>220.56*1.05</f>
        <v>231.588</v>
      </c>
      <c r="G59" s="74">
        <f t="shared" si="7"/>
        <v>7816.095</v>
      </c>
      <c r="H59" s="72" t="s">
        <v>40</v>
      </c>
    </row>
    <row r="60" s="52" customFormat="1" ht="108" spans="1:8">
      <c r="A60" s="70">
        <v>4</v>
      </c>
      <c r="B60" s="80" t="s">
        <v>80</v>
      </c>
      <c r="C60" s="80" t="s">
        <v>81</v>
      </c>
      <c r="D60" s="81" t="s">
        <v>19</v>
      </c>
      <c r="E60" s="82">
        <v>3.38</v>
      </c>
      <c r="F60" s="86">
        <f>267.66*1.05</f>
        <v>281.043</v>
      </c>
      <c r="G60" s="74">
        <f t="shared" si="7"/>
        <v>949.92534</v>
      </c>
      <c r="H60" s="72" t="s">
        <v>40</v>
      </c>
    </row>
    <row r="61" s="52" customFormat="1" ht="121.5" spans="1:8">
      <c r="A61" s="70">
        <v>5</v>
      </c>
      <c r="B61" s="80" t="s">
        <v>58</v>
      </c>
      <c r="C61" s="80" t="s">
        <v>59</v>
      </c>
      <c r="D61" s="81" t="s">
        <v>60</v>
      </c>
      <c r="E61" s="82">
        <v>27.687</v>
      </c>
      <c r="F61" s="86">
        <f>1069.37*1.05</f>
        <v>1122.8385</v>
      </c>
      <c r="G61" s="74">
        <f t="shared" si="7"/>
        <v>31088.0295495</v>
      </c>
      <c r="H61" s="72" t="s">
        <v>40</v>
      </c>
    </row>
    <row r="62" s="52" customFormat="1" ht="162" spans="1:8">
      <c r="A62" s="70">
        <v>6</v>
      </c>
      <c r="B62" s="80" t="s">
        <v>70</v>
      </c>
      <c r="C62" s="80" t="s">
        <v>71</v>
      </c>
      <c r="D62" s="81" t="s">
        <v>63</v>
      </c>
      <c r="E62" s="82">
        <v>267.5</v>
      </c>
      <c r="F62" s="86">
        <f>82*1.05</f>
        <v>86.1</v>
      </c>
      <c r="G62" s="74">
        <f t="shared" si="7"/>
        <v>23031.75</v>
      </c>
      <c r="H62" s="72" t="s">
        <v>40</v>
      </c>
    </row>
    <row r="63" s="52" customFormat="1" ht="148.5" spans="1:8">
      <c r="A63" s="70">
        <v>7</v>
      </c>
      <c r="B63" s="80" t="s">
        <v>68</v>
      </c>
      <c r="C63" s="80" t="s">
        <v>69</v>
      </c>
      <c r="D63" s="81" t="s">
        <v>13</v>
      </c>
      <c r="E63" s="82">
        <v>400</v>
      </c>
      <c r="F63" s="86">
        <f t="shared" ref="F63:F68" si="8">84.66*1.05</f>
        <v>88.893</v>
      </c>
      <c r="G63" s="74">
        <f t="shared" si="7"/>
        <v>35557.2</v>
      </c>
      <c r="H63" s="72" t="s">
        <v>40</v>
      </c>
    </row>
    <row r="64" s="54" customFormat="1" ht="13.5" spans="1:8">
      <c r="A64" s="64" t="s">
        <v>100</v>
      </c>
      <c r="B64" s="68" t="s">
        <v>101</v>
      </c>
      <c r="C64" s="84"/>
      <c r="D64" s="68"/>
      <c r="E64" s="87"/>
      <c r="F64" s="85"/>
      <c r="G64" s="69">
        <f>SUM(G65:G69)</f>
        <v>470740.99212</v>
      </c>
      <c r="H64" s="84"/>
    </row>
    <row r="65" s="52" customFormat="1" ht="229.5" spans="1:8">
      <c r="A65" s="70">
        <v>1</v>
      </c>
      <c r="B65" s="80" t="s">
        <v>94</v>
      </c>
      <c r="C65" s="80" t="s">
        <v>102</v>
      </c>
      <c r="D65" s="81" t="s">
        <v>19</v>
      </c>
      <c r="E65" s="82">
        <v>1398.84</v>
      </c>
      <c r="F65" s="86">
        <f>276.85*1.05</f>
        <v>290.6925</v>
      </c>
      <c r="G65" s="74">
        <f t="shared" ref="G65:G69" si="9">E65*F65</f>
        <v>406632.2967</v>
      </c>
      <c r="H65" s="72" t="s">
        <v>40</v>
      </c>
    </row>
    <row r="66" s="52" customFormat="1" ht="135" spans="1:8">
      <c r="A66" s="70">
        <v>2</v>
      </c>
      <c r="B66" s="80" t="s">
        <v>103</v>
      </c>
      <c r="C66" s="80" t="s">
        <v>104</v>
      </c>
      <c r="D66" s="81" t="s">
        <v>13</v>
      </c>
      <c r="E66" s="82">
        <v>154.52</v>
      </c>
      <c r="F66" s="86">
        <f>62.86*1.05</f>
        <v>66.003</v>
      </c>
      <c r="G66" s="74">
        <f t="shared" si="9"/>
        <v>10198.78356</v>
      </c>
      <c r="H66" s="72" t="s">
        <v>40</v>
      </c>
    </row>
    <row r="67" s="52" customFormat="1" ht="148.5" spans="1:8">
      <c r="A67" s="70">
        <v>3</v>
      </c>
      <c r="B67" s="80" t="s">
        <v>68</v>
      </c>
      <c r="C67" s="80" t="s">
        <v>105</v>
      </c>
      <c r="D67" s="81" t="s">
        <v>13</v>
      </c>
      <c r="E67" s="82">
        <v>202.5</v>
      </c>
      <c r="F67" s="86">
        <f t="shared" si="8"/>
        <v>88.893</v>
      </c>
      <c r="G67" s="74">
        <f t="shared" si="9"/>
        <v>18000.8325</v>
      </c>
      <c r="H67" s="72" t="s">
        <v>40</v>
      </c>
    </row>
    <row r="68" s="52" customFormat="1" ht="148.5" spans="1:8">
      <c r="A68" s="70">
        <v>4</v>
      </c>
      <c r="B68" s="80" t="s">
        <v>106</v>
      </c>
      <c r="C68" s="80" t="s">
        <v>107</v>
      </c>
      <c r="D68" s="81" t="s">
        <v>13</v>
      </c>
      <c r="E68" s="82">
        <v>154.52</v>
      </c>
      <c r="F68" s="86">
        <f t="shared" si="8"/>
        <v>88.893</v>
      </c>
      <c r="G68" s="74">
        <f t="shared" si="9"/>
        <v>13735.74636</v>
      </c>
      <c r="H68" s="72" t="s">
        <v>40</v>
      </c>
    </row>
    <row r="69" s="52" customFormat="1" ht="162" spans="1:8">
      <c r="A69" s="70">
        <v>5</v>
      </c>
      <c r="B69" s="80" t="s">
        <v>70</v>
      </c>
      <c r="C69" s="80" t="s">
        <v>71</v>
      </c>
      <c r="D69" s="81" t="s">
        <v>63</v>
      </c>
      <c r="E69" s="82">
        <v>257.53</v>
      </c>
      <c r="F69" s="86">
        <f>82*1.05</f>
        <v>86.1</v>
      </c>
      <c r="G69" s="74">
        <f t="shared" si="9"/>
        <v>22173.333</v>
      </c>
      <c r="H69" s="72" t="s">
        <v>40</v>
      </c>
    </row>
    <row r="70" s="54" customFormat="1" ht="27" spans="1:8">
      <c r="A70" s="64" t="s">
        <v>108</v>
      </c>
      <c r="B70" s="68" t="s">
        <v>109</v>
      </c>
      <c r="C70" s="84"/>
      <c r="D70" s="68"/>
      <c r="E70" s="87"/>
      <c r="F70" s="85"/>
      <c r="G70" s="69">
        <f>SUM(G71:G73)</f>
        <v>2080571.85</v>
      </c>
      <c r="H70" s="84"/>
    </row>
    <row r="71" s="52" customFormat="1" ht="288" customHeight="1" spans="1:8">
      <c r="A71" s="70">
        <v>1</v>
      </c>
      <c r="B71" s="80" t="s">
        <v>110</v>
      </c>
      <c r="C71" s="80" t="s">
        <v>111</v>
      </c>
      <c r="D71" s="81" t="s">
        <v>60</v>
      </c>
      <c r="E71" s="82">
        <f>6495.3+1547.38+341.66</f>
        <v>8384.34</v>
      </c>
      <c r="F71" s="83">
        <f>230*1.05</f>
        <v>241.5</v>
      </c>
      <c r="G71" s="74">
        <f t="shared" ref="G71:G73" si="10">E71*F71</f>
        <v>2024818.11</v>
      </c>
      <c r="H71" s="72" t="s">
        <v>40</v>
      </c>
    </row>
    <row r="72" s="52" customFormat="1" ht="247" customHeight="1" spans="1:8">
      <c r="A72" s="70">
        <v>2</v>
      </c>
      <c r="B72" s="80" t="s">
        <v>112</v>
      </c>
      <c r="C72" s="80" t="s">
        <v>113</v>
      </c>
      <c r="D72" s="81" t="s">
        <v>19</v>
      </c>
      <c r="E72" s="82">
        <v>128.87</v>
      </c>
      <c r="F72" s="83">
        <f>230*1.05</f>
        <v>241.5</v>
      </c>
      <c r="G72" s="74">
        <f t="shared" si="10"/>
        <v>31122.105</v>
      </c>
      <c r="H72" s="72" t="s">
        <v>40</v>
      </c>
    </row>
    <row r="73" s="52" customFormat="1" ht="246" customHeight="1" spans="1:8">
      <c r="A73" s="70">
        <v>3</v>
      </c>
      <c r="B73" s="80" t="s">
        <v>114</v>
      </c>
      <c r="C73" s="80" t="s">
        <v>115</v>
      </c>
      <c r="D73" s="81" t="s">
        <v>13</v>
      </c>
      <c r="E73" s="82">
        <v>4691.74</v>
      </c>
      <c r="F73" s="83">
        <f>5*1.05</f>
        <v>5.25</v>
      </c>
      <c r="G73" s="74">
        <f t="shared" si="10"/>
        <v>24631.635</v>
      </c>
      <c r="H73" s="72" t="s">
        <v>40</v>
      </c>
    </row>
    <row r="74" s="54" customFormat="1" customHeight="1" spans="1:8">
      <c r="A74" s="64" t="s">
        <v>116</v>
      </c>
      <c r="B74" s="68" t="s">
        <v>117</v>
      </c>
      <c r="C74" s="84"/>
      <c r="D74" s="68"/>
      <c r="E74" s="88"/>
      <c r="F74" s="89"/>
      <c r="G74" s="69">
        <f>SUM(G75:G77)</f>
        <v>1713164.376</v>
      </c>
      <c r="H74" s="84"/>
    </row>
    <row r="75" s="52" customFormat="1" ht="287" customHeight="1" spans="1:8">
      <c r="A75" s="70">
        <v>1</v>
      </c>
      <c r="B75" s="80" t="s">
        <v>110</v>
      </c>
      <c r="C75" s="80" t="s">
        <v>111</v>
      </c>
      <c r="D75" s="81" t="s">
        <v>60</v>
      </c>
      <c r="E75" s="82">
        <f>6495.3+1547.38+341.66</f>
        <v>8384.34</v>
      </c>
      <c r="F75" s="83">
        <f>190*1.05</f>
        <v>199.5</v>
      </c>
      <c r="G75" s="74">
        <f t="shared" ref="G75:G77" si="11">E75*F75</f>
        <v>1672675.83</v>
      </c>
      <c r="H75" s="72" t="s">
        <v>40</v>
      </c>
    </row>
    <row r="76" s="52" customFormat="1" ht="250" customHeight="1" spans="1:8">
      <c r="A76" s="70">
        <v>2</v>
      </c>
      <c r="B76" s="80" t="s">
        <v>112</v>
      </c>
      <c r="C76" s="80" t="s">
        <v>113</v>
      </c>
      <c r="D76" s="81" t="s">
        <v>19</v>
      </c>
      <c r="E76" s="82">
        <v>128.87</v>
      </c>
      <c r="F76" s="83">
        <f>190*1.05</f>
        <v>199.5</v>
      </c>
      <c r="G76" s="74">
        <f t="shared" si="11"/>
        <v>25709.565</v>
      </c>
      <c r="H76" s="72" t="s">
        <v>40</v>
      </c>
    </row>
    <row r="77" s="52" customFormat="1" ht="246" customHeight="1" spans="1:8">
      <c r="A77" s="70">
        <v>3</v>
      </c>
      <c r="B77" s="80" t="s">
        <v>114</v>
      </c>
      <c r="C77" s="80" t="s">
        <v>115</v>
      </c>
      <c r="D77" s="81" t="s">
        <v>13</v>
      </c>
      <c r="E77" s="82">
        <v>4691.74</v>
      </c>
      <c r="F77" s="83">
        <f>3*1.05</f>
        <v>3.15</v>
      </c>
      <c r="G77" s="74">
        <f t="shared" si="11"/>
        <v>14778.981</v>
      </c>
      <c r="H77" s="72" t="s">
        <v>40</v>
      </c>
    </row>
    <row r="78" s="54" customFormat="1" customHeight="1" spans="1:8">
      <c r="A78" s="64" t="s">
        <v>118</v>
      </c>
      <c r="B78" s="90" t="s">
        <v>119</v>
      </c>
      <c r="C78" s="91"/>
      <c r="D78" s="90"/>
      <c r="E78" s="88"/>
      <c r="F78" s="89"/>
      <c r="G78" s="69">
        <f>SUM(G79:G83)</f>
        <v>4066485.4005</v>
      </c>
      <c r="H78" s="84"/>
    </row>
    <row r="79" s="52" customFormat="1" ht="259" customHeight="1" spans="1:8">
      <c r="A79" s="70">
        <v>1</v>
      </c>
      <c r="B79" s="80" t="s">
        <v>120</v>
      </c>
      <c r="C79" s="80" t="s">
        <v>121</v>
      </c>
      <c r="D79" s="81" t="s">
        <v>60</v>
      </c>
      <c r="E79" s="82">
        <f>12990.6+3094.75+683.31+15</f>
        <v>16783.66</v>
      </c>
      <c r="F79" s="83">
        <f>200*1.05</f>
        <v>210</v>
      </c>
      <c r="G79" s="74">
        <f t="shared" ref="G79:G84" si="12">E79*F79</f>
        <v>3524568.6</v>
      </c>
      <c r="H79" s="72" t="s">
        <v>40</v>
      </c>
    </row>
    <row r="80" s="52" customFormat="1" ht="259" customHeight="1" spans="1:8">
      <c r="A80" s="70">
        <v>2</v>
      </c>
      <c r="B80" s="80" t="s">
        <v>122</v>
      </c>
      <c r="C80" s="80" t="s">
        <v>123</v>
      </c>
      <c r="D80" s="81" t="s">
        <v>60</v>
      </c>
      <c r="E80" s="82">
        <f>12990.6+3094.75+683.31+15</f>
        <v>16783.66</v>
      </c>
      <c r="F80" s="83">
        <f>23*1.05</f>
        <v>24.15</v>
      </c>
      <c r="G80" s="74">
        <f t="shared" si="12"/>
        <v>405325.389</v>
      </c>
      <c r="H80" s="72" t="s">
        <v>40</v>
      </c>
    </row>
    <row r="81" s="52" customFormat="1" ht="249" customHeight="1" spans="1:8">
      <c r="A81" s="70">
        <v>3</v>
      </c>
      <c r="B81" s="80" t="s">
        <v>124</v>
      </c>
      <c r="C81" s="80" t="s">
        <v>125</v>
      </c>
      <c r="D81" s="81" t="s">
        <v>19</v>
      </c>
      <c r="E81" s="82">
        <v>257.73</v>
      </c>
      <c r="F81" s="83">
        <v>200</v>
      </c>
      <c r="G81" s="74">
        <f t="shared" si="12"/>
        <v>51546</v>
      </c>
      <c r="H81" s="72" t="s">
        <v>40</v>
      </c>
    </row>
    <row r="82" s="52" customFormat="1" ht="249" customHeight="1" spans="1:8">
      <c r="A82" s="70">
        <v>4</v>
      </c>
      <c r="B82" s="80" t="s">
        <v>126</v>
      </c>
      <c r="C82" s="80" t="s">
        <v>127</v>
      </c>
      <c r="D82" s="81" t="s">
        <v>19</v>
      </c>
      <c r="E82" s="82">
        <v>257.73</v>
      </c>
      <c r="F82" s="83">
        <f>23*1.05</f>
        <v>24.15</v>
      </c>
      <c r="G82" s="74">
        <f t="shared" si="12"/>
        <v>6224.1795</v>
      </c>
      <c r="H82" s="72" t="s">
        <v>40</v>
      </c>
    </row>
    <row r="83" s="52" customFormat="1" ht="250" customHeight="1" spans="1:8">
      <c r="A83" s="70">
        <v>5</v>
      </c>
      <c r="B83" s="80" t="s">
        <v>128</v>
      </c>
      <c r="C83" s="80" t="s">
        <v>129</v>
      </c>
      <c r="D83" s="81" t="s">
        <v>13</v>
      </c>
      <c r="E83" s="82">
        <v>9383.48</v>
      </c>
      <c r="F83" s="83">
        <f>8*1.05</f>
        <v>8.4</v>
      </c>
      <c r="G83" s="74">
        <f t="shared" si="12"/>
        <v>78821.232</v>
      </c>
      <c r="H83" s="72" t="s">
        <v>40</v>
      </c>
    </row>
    <row r="84" s="55" customFormat="1" ht="249" customHeight="1" spans="1:8">
      <c r="A84" s="70">
        <v>6</v>
      </c>
      <c r="B84" s="80" t="s">
        <v>130</v>
      </c>
      <c r="C84" s="80" t="s">
        <v>131</v>
      </c>
      <c r="D84" s="81" t="s">
        <v>13</v>
      </c>
      <c r="E84" s="82">
        <v>9383.48</v>
      </c>
      <c r="F84" s="83">
        <f>0.8*1.05</f>
        <v>0.84</v>
      </c>
      <c r="G84" s="74">
        <f t="shared" si="12"/>
        <v>7882.1232</v>
      </c>
      <c r="H84" s="72" t="s">
        <v>40</v>
      </c>
    </row>
    <row r="85" s="54" customFormat="1" ht="13.5" spans="1:8">
      <c r="A85" s="64" t="s">
        <v>132</v>
      </c>
      <c r="B85" s="90" t="s">
        <v>133</v>
      </c>
      <c r="C85" s="91"/>
      <c r="D85" s="90"/>
      <c r="E85" s="88"/>
      <c r="F85" s="89"/>
      <c r="G85" s="69">
        <f>SUM(G86)</f>
        <v>197444.403765</v>
      </c>
      <c r="H85" s="72"/>
    </row>
    <row r="86" s="52" customFormat="1" ht="162" spans="1:8">
      <c r="A86" s="70">
        <v>1</v>
      </c>
      <c r="B86" s="80" t="s">
        <v>134</v>
      </c>
      <c r="C86" s="80" t="s">
        <v>135</v>
      </c>
      <c r="D86" s="81" t="s">
        <v>13</v>
      </c>
      <c r="E86" s="82">
        <v>9863.22</v>
      </c>
      <c r="F86" s="83">
        <f>20.5*93%*1.05</f>
        <v>20.01825</v>
      </c>
      <c r="G86" s="74">
        <f t="shared" ref="G86:G91" si="13">E86*F86</f>
        <v>197444.403765</v>
      </c>
      <c r="H86" s="72" t="s">
        <v>40</v>
      </c>
    </row>
    <row r="87" s="54" customFormat="1" ht="13.5" spans="1:8">
      <c r="A87" s="64" t="s">
        <v>136</v>
      </c>
      <c r="B87" s="68" t="s">
        <v>137</v>
      </c>
      <c r="C87" s="84"/>
      <c r="D87" s="68"/>
      <c r="E87" s="87"/>
      <c r="F87" s="92"/>
      <c r="G87" s="69">
        <f>SUM(G88:G91)</f>
        <v>2702806.33457742</v>
      </c>
      <c r="H87" s="84"/>
    </row>
    <row r="88" s="52" customFormat="1" ht="27" spans="1:8">
      <c r="A88" s="70">
        <v>1</v>
      </c>
      <c r="B88" s="71" t="s">
        <v>138</v>
      </c>
      <c r="C88" s="72"/>
      <c r="D88" s="73" t="s">
        <v>33</v>
      </c>
      <c r="E88" s="77">
        <v>1</v>
      </c>
      <c r="F88" s="77">
        <v>34000</v>
      </c>
      <c r="G88" s="74">
        <f t="shared" si="13"/>
        <v>34000</v>
      </c>
      <c r="H88" s="72"/>
    </row>
    <row r="89" s="52" customFormat="1" ht="40.5" spans="1:8">
      <c r="A89" s="70">
        <v>2</v>
      </c>
      <c r="B89" s="71" t="s">
        <v>139</v>
      </c>
      <c r="C89" s="72" t="s">
        <v>140</v>
      </c>
      <c r="D89" s="73" t="s">
        <v>141</v>
      </c>
      <c r="E89" s="77">
        <f>G13</f>
        <v>13634410.0132311</v>
      </c>
      <c r="F89" s="93">
        <v>0.03</v>
      </c>
      <c r="G89" s="74">
        <f t="shared" si="13"/>
        <v>409032.300396933</v>
      </c>
      <c r="H89" s="72" t="s">
        <v>142</v>
      </c>
    </row>
    <row r="90" s="52" customFormat="1" ht="54" spans="1:8">
      <c r="A90" s="70">
        <v>3</v>
      </c>
      <c r="B90" s="71" t="s">
        <v>143</v>
      </c>
      <c r="C90" s="72" t="s">
        <v>144</v>
      </c>
      <c r="D90" s="73" t="s">
        <v>141</v>
      </c>
      <c r="E90" s="77">
        <f>G3+G13+G88+G89</f>
        <v>14123587.713628</v>
      </c>
      <c r="F90" s="93">
        <v>0.1</v>
      </c>
      <c r="G90" s="74">
        <f t="shared" si="13"/>
        <v>1412358.7713628</v>
      </c>
      <c r="H90" s="72" t="s">
        <v>145</v>
      </c>
    </row>
    <row r="91" s="52" customFormat="1" ht="40.5" spans="1:8">
      <c r="A91" s="70">
        <v>4</v>
      </c>
      <c r="B91" s="71" t="s">
        <v>146</v>
      </c>
      <c r="C91" s="72"/>
      <c r="D91" s="73" t="s">
        <v>141</v>
      </c>
      <c r="E91" s="77">
        <f>G3+G13+G88+G89</f>
        <v>14123587.713628</v>
      </c>
      <c r="F91" s="93">
        <v>0.06</v>
      </c>
      <c r="G91" s="74">
        <f t="shared" si="13"/>
        <v>847415.262817682</v>
      </c>
      <c r="H91" s="72" t="s">
        <v>145</v>
      </c>
    </row>
    <row r="92" s="56" customFormat="1" ht="14.25" spans="1:8">
      <c r="A92" s="64" t="s">
        <v>147</v>
      </c>
      <c r="B92" s="68" t="s">
        <v>148</v>
      </c>
      <c r="C92" s="84" t="s">
        <v>149</v>
      </c>
      <c r="D92" s="68" t="s">
        <v>141</v>
      </c>
      <c r="E92" s="87"/>
      <c r="F92" s="94"/>
      <c r="G92" s="69">
        <f>G3+G13+G87</f>
        <v>16383361.7478085</v>
      </c>
      <c r="H92" s="84"/>
    </row>
    <row r="93" s="54" customFormat="1" ht="13.5" spans="1:8">
      <c r="A93" s="64" t="s">
        <v>150</v>
      </c>
      <c r="B93" s="68" t="s">
        <v>151</v>
      </c>
      <c r="C93" s="84" t="s">
        <v>152</v>
      </c>
      <c r="D93" s="68" t="s">
        <v>141</v>
      </c>
      <c r="E93" s="87">
        <f>G92</f>
        <v>16383361.7478085</v>
      </c>
      <c r="F93" s="95">
        <v>0.09</v>
      </c>
      <c r="G93" s="69">
        <f>E93*F93</f>
        <v>1474502.55730277</v>
      </c>
      <c r="H93" s="84" t="s">
        <v>153</v>
      </c>
    </row>
    <row r="94" s="54" customFormat="1" ht="13.5" spans="1:8">
      <c r="A94" s="64" t="s">
        <v>154</v>
      </c>
      <c r="B94" s="68" t="s">
        <v>155</v>
      </c>
      <c r="C94" s="68"/>
      <c r="D94" s="68"/>
      <c r="E94" s="96"/>
      <c r="F94" s="96"/>
      <c r="G94" s="69">
        <f>G92+G93</f>
        <v>17857864.3051113</v>
      </c>
      <c r="H94" s="97"/>
    </row>
    <row r="95" s="52" customFormat="1" ht="115" customHeight="1" spans="1:8">
      <c r="A95" s="98" t="s">
        <v>156</v>
      </c>
      <c r="B95" s="99"/>
      <c r="C95" s="99"/>
      <c r="D95" s="99"/>
      <c r="E95" s="100"/>
      <c r="F95" s="100"/>
      <c r="G95" s="100"/>
      <c r="H95" s="99"/>
    </row>
    <row r="96" s="52" customFormat="1" customHeight="1" spans="1:7">
      <c r="A96" s="57"/>
      <c r="B96" s="58"/>
      <c r="D96" s="57"/>
      <c r="E96" s="59"/>
      <c r="F96" s="60"/>
      <c r="G96" s="60"/>
    </row>
    <row r="97" s="52" customFormat="1" customHeight="1" spans="1:7">
      <c r="A97" s="57"/>
      <c r="B97" s="58"/>
      <c r="D97" s="57"/>
      <c r="E97" s="59"/>
      <c r="F97" s="60"/>
      <c r="G97" s="60"/>
    </row>
    <row r="98" s="52" customFormat="1" customHeight="1" spans="1:7">
      <c r="A98" s="57"/>
      <c r="B98" s="58"/>
      <c r="D98" s="57"/>
      <c r="E98" s="59"/>
      <c r="F98" s="60"/>
      <c r="G98" s="60"/>
    </row>
    <row r="99" s="52" customFormat="1" customHeight="1" spans="1:7">
      <c r="A99" s="57"/>
      <c r="B99" s="58"/>
      <c r="D99" s="57"/>
      <c r="E99" s="59"/>
      <c r="F99" s="60"/>
      <c r="G99" s="60"/>
    </row>
    <row r="100" s="52" customFormat="1" customHeight="1" spans="1:7">
      <c r="A100" s="57"/>
      <c r="B100" s="58"/>
      <c r="D100" s="57"/>
      <c r="E100" s="59"/>
      <c r="F100" s="60"/>
      <c r="G100" s="60"/>
    </row>
    <row r="101" s="52" customFormat="1" customHeight="1" spans="1:7">
      <c r="A101" s="57"/>
      <c r="B101" s="58"/>
      <c r="D101" s="57"/>
      <c r="E101" s="59"/>
      <c r="F101" s="60"/>
      <c r="G101" s="60"/>
    </row>
    <row r="102" s="52" customFormat="1" customHeight="1" spans="1:7">
      <c r="A102" s="57"/>
      <c r="B102" s="58"/>
      <c r="D102" s="57"/>
      <c r="E102" s="59"/>
      <c r="F102" s="60"/>
      <c r="G102" s="60"/>
    </row>
    <row r="103" s="52" customFormat="1" customHeight="1" spans="1:7">
      <c r="A103" s="57"/>
      <c r="B103" s="58"/>
      <c r="D103" s="57"/>
      <c r="E103" s="59"/>
      <c r="F103" s="60"/>
      <c r="G103" s="60"/>
    </row>
    <row r="104" s="52" customFormat="1" customHeight="1" spans="1:7">
      <c r="A104" s="57"/>
      <c r="B104" s="58"/>
      <c r="D104" s="57"/>
      <c r="E104" s="59"/>
      <c r="F104" s="60"/>
      <c r="G104" s="60"/>
    </row>
    <row r="105" s="52" customFormat="1" customHeight="1" spans="1:7">
      <c r="A105" s="57"/>
      <c r="B105" s="58"/>
      <c r="D105" s="57"/>
      <c r="E105" s="59"/>
      <c r="F105" s="60"/>
      <c r="G105" s="60"/>
    </row>
    <row r="106" s="52" customFormat="1" customHeight="1" spans="1:7">
      <c r="A106" s="57"/>
      <c r="B106" s="58"/>
      <c r="D106" s="57"/>
      <c r="E106" s="59"/>
      <c r="F106" s="60"/>
      <c r="G106" s="60"/>
    </row>
    <row r="107" s="52" customFormat="1" customHeight="1" spans="1:7">
      <c r="A107" s="57"/>
      <c r="B107" s="58"/>
      <c r="D107" s="57"/>
      <c r="E107" s="59"/>
      <c r="F107" s="60"/>
      <c r="G107" s="60"/>
    </row>
    <row r="108" s="52" customFormat="1" customHeight="1" spans="1:7">
      <c r="A108" s="57"/>
      <c r="B108" s="58"/>
      <c r="D108" s="57"/>
      <c r="E108" s="59"/>
      <c r="F108" s="60"/>
      <c r="G108" s="60"/>
    </row>
    <row r="109" s="52" customFormat="1" customHeight="1" spans="1:7">
      <c r="A109" s="57"/>
      <c r="B109" s="58"/>
      <c r="D109" s="57"/>
      <c r="E109" s="59"/>
      <c r="F109" s="60"/>
      <c r="G109" s="60"/>
    </row>
    <row r="110" s="52" customFormat="1" customHeight="1" spans="1:7">
      <c r="A110" s="57"/>
      <c r="B110" s="58"/>
      <c r="D110" s="57"/>
      <c r="E110" s="59"/>
      <c r="F110" s="60"/>
      <c r="G110" s="60"/>
    </row>
    <row r="111" s="52" customFormat="1" customHeight="1" spans="1:7">
      <c r="A111" s="57"/>
      <c r="B111" s="58"/>
      <c r="D111" s="57"/>
      <c r="E111" s="59"/>
      <c r="F111" s="60"/>
      <c r="G111" s="60"/>
    </row>
    <row r="112" s="52" customFormat="1" customHeight="1" spans="1:7">
      <c r="A112" s="57"/>
      <c r="B112" s="58"/>
      <c r="D112" s="57"/>
      <c r="E112" s="59"/>
      <c r="F112" s="60"/>
      <c r="G112" s="60"/>
    </row>
    <row r="113" s="52" customFormat="1" customHeight="1" spans="1:7">
      <c r="A113" s="57"/>
      <c r="B113" s="58"/>
      <c r="D113" s="57"/>
      <c r="E113" s="59"/>
      <c r="F113" s="60"/>
      <c r="G113" s="60"/>
    </row>
    <row r="114" s="52" customFormat="1" customHeight="1" spans="1:7">
      <c r="A114" s="57"/>
      <c r="B114" s="58"/>
      <c r="D114" s="57"/>
      <c r="E114" s="59"/>
      <c r="F114" s="60"/>
      <c r="G114" s="60"/>
    </row>
    <row r="115" s="52" customFormat="1" customHeight="1" spans="1:7">
      <c r="A115" s="57"/>
      <c r="B115" s="58"/>
      <c r="D115" s="57"/>
      <c r="E115" s="59"/>
      <c r="F115" s="60"/>
      <c r="G115" s="60"/>
    </row>
    <row r="116" s="52" customFormat="1" customHeight="1" spans="1:7">
      <c r="A116" s="57"/>
      <c r="B116" s="58"/>
      <c r="D116" s="57"/>
      <c r="E116" s="59"/>
      <c r="F116" s="60"/>
      <c r="G116" s="60"/>
    </row>
    <row r="117" s="52" customFormat="1" customHeight="1" spans="1:7">
      <c r="A117" s="57"/>
      <c r="B117" s="58"/>
      <c r="D117" s="57"/>
      <c r="E117" s="59"/>
      <c r="F117" s="60"/>
      <c r="G117" s="60"/>
    </row>
    <row r="118" s="52" customFormat="1" customHeight="1" spans="1:7">
      <c r="A118" s="57"/>
      <c r="B118" s="58"/>
      <c r="D118" s="57"/>
      <c r="E118" s="59"/>
      <c r="F118" s="60"/>
      <c r="G118" s="60"/>
    </row>
    <row r="119" s="52" customFormat="1" customHeight="1" spans="1:7">
      <c r="A119" s="57"/>
      <c r="B119" s="58"/>
      <c r="C119" s="52"/>
      <c r="D119" s="57"/>
      <c r="E119" s="59"/>
      <c r="F119" s="60"/>
      <c r="G119" s="60"/>
    </row>
  </sheetData>
  <mergeCells count="3">
    <mergeCell ref="A1:H1"/>
    <mergeCell ref="B94:F94"/>
    <mergeCell ref="A95:H95"/>
  </mergeCells>
  <pageMargins left="0.700694444444445" right="0.700694444444445" top="0.751388888888889" bottom="0.751388888888889" header="0.297916666666667" footer="0.297916666666667"/>
  <pageSetup paperSize="9" orientation="landscape" horizontalDpi="600"/>
  <headerFooter>
    <oddFooter>&amp;C第 &amp;P 页，共 &amp;N 页</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19"/>
  <sheetViews>
    <sheetView tabSelected="1" workbookViewId="0">
      <selection activeCell="E27" sqref="E27"/>
    </sheetView>
  </sheetViews>
  <sheetFormatPr defaultColWidth="8" defaultRowHeight="12.75"/>
  <cols>
    <col min="1" max="1" width="6.625" style="2" customWidth="1"/>
    <col min="2" max="2" width="25.625" style="2" customWidth="1"/>
    <col min="3" max="3" width="15.625" style="3" customWidth="1"/>
    <col min="4" max="4" width="6.625" style="2" customWidth="1"/>
    <col min="5" max="5" width="12.625" style="4" customWidth="1"/>
    <col min="6" max="6" width="15.625" style="2" customWidth="1"/>
    <col min="7" max="16384" width="8" style="2"/>
  </cols>
  <sheetData>
    <row r="1" s="1" customFormat="1" ht="22" customHeight="1" spans="1:244">
      <c r="A1" s="5" t="s">
        <v>170</v>
      </c>
      <c r="B1" s="5"/>
      <c r="C1" s="5"/>
      <c r="D1" s="5"/>
      <c r="E1" s="5"/>
      <c r="F1" s="5"/>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row>
    <row r="2" s="2" customFormat="1" ht="56" customHeight="1" spans="1:6">
      <c r="A2" s="6" t="s">
        <v>171</v>
      </c>
      <c r="B2" s="7"/>
      <c r="C2" s="7"/>
      <c r="D2" s="7"/>
      <c r="E2" s="8"/>
      <c r="F2" s="7"/>
    </row>
    <row r="3" s="2" customFormat="1" ht="39" customHeight="1" spans="1:6">
      <c r="A3" s="9" t="s">
        <v>172</v>
      </c>
      <c r="B3" s="9"/>
      <c r="C3" s="9"/>
      <c r="D3" s="9"/>
      <c r="E3" s="10"/>
      <c r="F3" s="9"/>
    </row>
    <row r="4" s="2" customFormat="1" ht="34.5" customHeight="1" spans="1:6">
      <c r="A4" s="11" t="s">
        <v>1</v>
      </c>
      <c r="B4" s="11" t="s">
        <v>173</v>
      </c>
      <c r="C4" s="11" t="s">
        <v>174</v>
      </c>
      <c r="D4" s="11" t="s">
        <v>4</v>
      </c>
      <c r="E4" s="12" t="s">
        <v>175</v>
      </c>
      <c r="F4" s="11" t="s">
        <v>176</v>
      </c>
    </row>
    <row r="5" s="2" customFormat="1" ht="23" customHeight="1" spans="1:6">
      <c r="A5" s="19">
        <v>1</v>
      </c>
      <c r="B5" s="44" t="s">
        <v>177</v>
      </c>
      <c r="C5" s="44" t="s">
        <v>178</v>
      </c>
      <c r="D5" s="45" t="s">
        <v>179</v>
      </c>
      <c r="E5" s="46">
        <v>20243.5923318</v>
      </c>
      <c r="F5" s="24"/>
    </row>
    <row r="6" s="2" customFormat="1" ht="23" customHeight="1" spans="1:6">
      <c r="A6" s="19">
        <v>2</v>
      </c>
      <c r="B6" s="44" t="s">
        <v>177</v>
      </c>
      <c r="C6" s="44" t="s">
        <v>161</v>
      </c>
      <c r="D6" s="45" t="s">
        <v>60</v>
      </c>
      <c r="E6" s="46">
        <v>51.6297312212</v>
      </c>
      <c r="F6" s="47"/>
    </row>
    <row r="7" s="2" customFormat="1" ht="23" customHeight="1" spans="1:6">
      <c r="A7" s="19">
        <v>3</v>
      </c>
      <c r="B7" s="44" t="s">
        <v>177</v>
      </c>
      <c r="C7" s="44" t="s">
        <v>180</v>
      </c>
      <c r="D7" s="45" t="s">
        <v>60</v>
      </c>
      <c r="E7" s="46">
        <v>730.489807091112</v>
      </c>
      <c r="F7" s="47"/>
    </row>
    <row r="8" s="2" customFormat="1" ht="23" customHeight="1" spans="1:6">
      <c r="A8" s="19">
        <v>4</v>
      </c>
      <c r="B8" s="44" t="s">
        <v>181</v>
      </c>
      <c r="C8" s="44" t="s">
        <v>182</v>
      </c>
      <c r="D8" s="45" t="s">
        <v>179</v>
      </c>
      <c r="E8" s="48">
        <v>3453819.6493</v>
      </c>
      <c r="F8" s="47"/>
    </row>
    <row r="9" s="2" customFormat="1" ht="23" customHeight="1" spans="1:6">
      <c r="A9" s="19">
        <v>5</v>
      </c>
      <c r="B9" s="44" t="s">
        <v>183</v>
      </c>
      <c r="C9" s="44" t="s">
        <v>161</v>
      </c>
      <c r="D9" s="45" t="s">
        <v>60</v>
      </c>
      <c r="E9" s="48">
        <v>3200.7699131</v>
      </c>
      <c r="F9" s="47"/>
    </row>
    <row r="10" s="2" customFormat="1" ht="23" customHeight="1" spans="1:6">
      <c r="A10" s="19">
        <v>6</v>
      </c>
      <c r="B10" s="44" t="s">
        <v>184</v>
      </c>
      <c r="C10" s="44" t="s">
        <v>178</v>
      </c>
      <c r="D10" s="49" t="s">
        <v>19</v>
      </c>
      <c r="E10" s="48">
        <v>855.489013533333</v>
      </c>
      <c r="F10" s="47"/>
    </row>
    <row r="11" s="2" customFormat="1" ht="23" customHeight="1" spans="1:6">
      <c r="A11" s="19">
        <v>7</v>
      </c>
      <c r="B11" s="44" t="s">
        <v>184</v>
      </c>
      <c r="C11" s="44" t="s">
        <v>185</v>
      </c>
      <c r="D11" s="45" t="s">
        <v>60</v>
      </c>
      <c r="E11" s="48" t="s">
        <v>186</v>
      </c>
      <c r="F11" s="47"/>
    </row>
    <row r="12" s="2" customFormat="1" ht="23" customHeight="1" spans="1:6">
      <c r="A12" s="19">
        <v>8</v>
      </c>
      <c r="B12" s="44" t="s">
        <v>184</v>
      </c>
      <c r="C12" s="44" t="s">
        <v>187</v>
      </c>
      <c r="D12" s="45" t="s">
        <v>60</v>
      </c>
      <c r="E12" s="48" t="s">
        <v>188</v>
      </c>
      <c r="F12" s="47"/>
    </row>
    <row r="13" s="2" customFormat="1" ht="23" customHeight="1" spans="1:6">
      <c r="A13" s="19">
        <v>9</v>
      </c>
      <c r="B13" s="44" t="s">
        <v>184</v>
      </c>
      <c r="C13" s="44" t="s">
        <v>189</v>
      </c>
      <c r="D13" s="45" t="s">
        <v>60</v>
      </c>
      <c r="E13" s="48" t="s">
        <v>190</v>
      </c>
      <c r="F13" s="47"/>
    </row>
    <row r="14" s="2" customFormat="1" ht="23" customHeight="1" spans="1:6">
      <c r="A14" s="19">
        <v>10</v>
      </c>
      <c r="B14" s="44" t="s">
        <v>191</v>
      </c>
      <c r="C14" s="44" t="s">
        <v>161</v>
      </c>
      <c r="D14" s="45" t="s">
        <v>19</v>
      </c>
      <c r="E14" s="48" t="s">
        <v>192</v>
      </c>
      <c r="F14" s="47"/>
    </row>
    <row r="15" s="2" customFormat="1" ht="23" customHeight="1" spans="1:6">
      <c r="A15" s="19">
        <v>11</v>
      </c>
      <c r="B15" s="44" t="s">
        <v>70</v>
      </c>
      <c r="C15" s="44" t="s">
        <v>161</v>
      </c>
      <c r="D15" s="45" t="s">
        <v>63</v>
      </c>
      <c r="E15" s="48" t="s">
        <v>193</v>
      </c>
      <c r="F15" s="47"/>
    </row>
    <row r="16" s="2" customFormat="1" ht="23" customHeight="1" spans="1:6">
      <c r="A16" s="19">
        <v>12</v>
      </c>
      <c r="B16" s="44" t="s">
        <v>194</v>
      </c>
      <c r="C16" s="44" t="s">
        <v>195</v>
      </c>
      <c r="D16" s="45" t="s">
        <v>19</v>
      </c>
      <c r="E16" s="48" t="s">
        <v>196</v>
      </c>
      <c r="F16" s="47"/>
    </row>
    <row r="17" s="2" customFormat="1" ht="23" customHeight="1" spans="1:6">
      <c r="A17" s="19">
        <v>13</v>
      </c>
      <c r="B17" s="44" t="s">
        <v>197</v>
      </c>
      <c r="C17" s="21"/>
      <c r="D17" s="45" t="s">
        <v>13</v>
      </c>
      <c r="E17" s="48" t="s">
        <v>198</v>
      </c>
      <c r="F17" s="47"/>
    </row>
    <row r="18" s="2" customFormat="1" ht="23" customHeight="1" spans="1:6">
      <c r="A18" s="33"/>
      <c r="B18" s="50"/>
      <c r="C18" s="33"/>
      <c r="D18" s="33"/>
      <c r="E18" s="51"/>
      <c r="F18" s="33"/>
    </row>
    <row r="19" s="2" customFormat="1" ht="23" customHeight="1" spans="1:6">
      <c r="A19" s="33"/>
      <c r="B19" s="50"/>
      <c r="C19" s="33"/>
      <c r="D19" s="33"/>
      <c r="E19" s="51"/>
      <c r="F19" s="33"/>
    </row>
  </sheetData>
  <mergeCells count="3">
    <mergeCell ref="A1:F1"/>
    <mergeCell ref="A2:F2"/>
    <mergeCell ref="A3:F3"/>
  </mergeCells>
  <printOptions horizontalCentered="1"/>
  <pageMargins left="0" right="0" top="1" bottom="1" header="0.5" footer="0.5"/>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19"/>
  <sheetViews>
    <sheetView workbookViewId="0">
      <selection activeCell="A19" sqref="A19"/>
    </sheetView>
  </sheetViews>
  <sheetFormatPr defaultColWidth="8" defaultRowHeight="12.75"/>
  <cols>
    <col min="1" max="1" width="6.625" style="2" customWidth="1"/>
    <col min="2" max="2" width="25.625" style="2" customWidth="1"/>
    <col min="3" max="3" width="15.625" style="3" customWidth="1"/>
    <col min="4" max="4" width="6.625" style="2" customWidth="1"/>
    <col min="5" max="5" width="12.625" style="4" customWidth="1"/>
    <col min="6" max="6" width="15.625" style="2" customWidth="1"/>
    <col min="7" max="16384" width="8" style="2"/>
  </cols>
  <sheetData>
    <row r="1" s="1" customFormat="1" ht="22" customHeight="1" spans="1:244">
      <c r="A1" s="5" t="s">
        <v>199</v>
      </c>
      <c r="B1" s="5"/>
      <c r="C1" s="5"/>
      <c r="D1" s="5"/>
      <c r="E1" s="5"/>
      <c r="F1" s="5"/>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row>
    <row r="2" s="2" customFormat="1" ht="56" customHeight="1" spans="1:6">
      <c r="A2" s="6" t="s">
        <v>200</v>
      </c>
      <c r="B2" s="7"/>
      <c r="C2" s="7"/>
      <c r="D2" s="7"/>
      <c r="E2" s="8"/>
      <c r="F2" s="7"/>
    </row>
    <row r="3" s="2" customFormat="1" ht="39" customHeight="1" spans="1:6">
      <c r="A3" s="9" t="s">
        <v>172</v>
      </c>
      <c r="B3" s="9"/>
      <c r="C3" s="9"/>
      <c r="D3" s="9"/>
      <c r="E3" s="10"/>
      <c r="F3" s="9"/>
    </row>
    <row r="4" s="2" customFormat="1" ht="34.5" customHeight="1" spans="1:6">
      <c r="A4" s="11" t="s">
        <v>1</v>
      </c>
      <c r="B4" s="11" t="s">
        <v>173</v>
      </c>
      <c r="C4" s="11" t="s">
        <v>174</v>
      </c>
      <c r="D4" s="11" t="s">
        <v>4</v>
      </c>
      <c r="E4" s="12" t="s">
        <v>175</v>
      </c>
      <c r="F4" s="11" t="s">
        <v>176</v>
      </c>
    </row>
    <row r="5" s="2" customFormat="1" ht="18" customHeight="1" spans="1:6">
      <c r="A5" s="37">
        <v>1</v>
      </c>
      <c r="B5" s="38" t="s">
        <v>201</v>
      </c>
      <c r="C5" s="37" t="s">
        <v>202</v>
      </c>
      <c r="D5" s="37" t="s">
        <v>203</v>
      </c>
      <c r="E5" s="39">
        <f>12*530</f>
        <v>6360</v>
      </c>
      <c r="F5" s="33"/>
    </row>
    <row r="6" s="2" customFormat="1" ht="18" customHeight="1" spans="1:6">
      <c r="A6" s="37">
        <v>2</v>
      </c>
      <c r="B6" s="38" t="s">
        <v>204</v>
      </c>
      <c r="C6" s="37"/>
      <c r="D6" s="37" t="s">
        <v>19</v>
      </c>
      <c r="E6" s="39">
        <v>50</v>
      </c>
      <c r="F6" s="33"/>
    </row>
    <row r="7" s="2" customFormat="1" ht="18" customHeight="1" spans="1:6">
      <c r="A7" s="37">
        <v>3</v>
      </c>
      <c r="B7" s="38" t="s">
        <v>205</v>
      </c>
      <c r="C7" s="37"/>
      <c r="D7" s="40" t="s">
        <v>60</v>
      </c>
      <c r="E7" s="39">
        <v>10</v>
      </c>
      <c r="F7" s="33"/>
    </row>
    <row r="8" s="2" customFormat="1" ht="18" customHeight="1" spans="1:6">
      <c r="A8" s="37">
        <v>4</v>
      </c>
      <c r="B8" s="38" t="s">
        <v>206</v>
      </c>
      <c r="C8" s="37"/>
      <c r="D8" s="37" t="s">
        <v>19</v>
      </c>
      <c r="E8" s="39">
        <v>20</v>
      </c>
      <c r="F8" s="33"/>
    </row>
    <row r="9" s="2" customFormat="1" ht="18" customHeight="1" spans="1:6">
      <c r="A9" s="37">
        <v>5</v>
      </c>
      <c r="B9" s="38" t="s">
        <v>207</v>
      </c>
      <c r="C9" s="37"/>
      <c r="D9" s="40" t="s">
        <v>13</v>
      </c>
      <c r="E9" s="39">
        <v>120</v>
      </c>
      <c r="F9" s="33"/>
    </row>
    <row r="10" s="2" customFormat="1" ht="18" customHeight="1" spans="1:6">
      <c r="A10" s="37">
        <v>6</v>
      </c>
      <c r="B10" s="38" t="s">
        <v>208</v>
      </c>
      <c r="C10" s="37"/>
      <c r="D10" s="40" t="s">
        <v>209</v>
      </c>
      <c r="E10" s="39">
        <v>24</v>
      </c>
      <c r="F10" s="33"/>
    </row>
    <row r="11" s="2" customFormat="1" ht="18" customHeight="1" spans="1:6">
      <c r="A11" s="37">
        <v>7</v>
      </c>
      <c r="B11" s="38" t="s">
        <v>210</v>
      </c>
      <c r="C11" s="37"/>
      <c r="D11" s="40" t="s">
        <v>63</v>
      </c>
      <c r="E11" s="39">
        <v>200</v>
      </c>
      <c r="F11" s="33"/>
    </row>
    <row r="12" s="2" customFormat="1" ht="18" customHeight="1" spans="1:6">
      <c r="A12" s="37">
        <v>8</v>
      </c>
      <c r="B12" s="38" t="s">
        <v>211</v>
      </c>
      <c r="C12" s="41"/>
      <c r="D12" s="40" t="s">
        <v>63</v>
      </c>
      <c r="E12" s="39">
        <v>40</v>
      </c>
      <c r="F12" s="33"/>
    </row>
    <row r="13" s="2" customFormat="1" ht="18" customHeight="1" spans="1:6">
      <c r="A13" s="37">
        <v>9</v>
      </c>
      <c r="B13" s="38" t="s">
        <v>212</v>
      </c>
      <c r="C13" s="42"/>
      <c r="D13" s="40" t="s">
        <v>63</v>
      </c>
      <c r="E13" s="39">
        <v>20</v>
      </c>
      <c r="F13" s="33"/>
    </row>
    <row r="14" s="2" customFormat="1" ht="18" customHeight="1" spans="1:6">
      <c r="A14" s="37">
        <v>10</v>
      </c>
      <c r="B14" s="38" t="s">
        <v>213</v>
      </c>
      <c r="C14" s="42"/>
      <c r="D14" s="40" t="s">
        <v>63</v>
      </c>
      <c r="E14" s="39">
        <v>10</v>
      </c>
      <c r="F14" s="33"/>
    </row>
    <row r="15" s="2" customFormat="1" ht="18" customHeight="1" spans="1:6">
      <c r="A15" s="37">
        <v>11</v>
      </c>
      <c r="B15" s="38" t="s">
        <v>214</v>
      </c>
      <c r="C15" s="42"/>
      <c r="D15" s="40" t="s">
        <v>63</v>
      </c>
      <c r="E15" s="39">
        <v>260</v>
      </c>
      <c r="F15" s="33"/>
    </row>
    <row r="16" s="2" customFormat="1" ht="18" customHeight="1" spans="1:6">
      <c r="A16" s="37">
        <v>12</v>
      </c>
      <c r="B16" s="38" t="s">
        <v>215</v>
      </c>
      <c r="C16" s="42"/>
      <c r="D16" s="40" t="s">
        <v>209</v>
      </c>
      <c r="E16" s="39">
        <v>30</v>
      </c>
      <c r="F16" s="33"/>
    </row>
    <row r="17" s="2" customFormat="1" ht="18" customHeight="1" spans="1:6">
      <c r="A17" s="37">
        <v>13</v>
      </c>
      <c r="B17" s="38" t="s">
        <v>216</v>
      </c>
      <c r="C17" s="42"/>
      <c r="D17" s="40" t="s">
        <v>63</v>
      </c>
      <c r="E17" s="39">
        <v>12</v>
      </c>
      <c r="F17" s="33"/>
    </row>
    <row r="18" s="2" customFormat="1" ht="18" customHeight="1" spans="1:6">
      <c r="A18" s="37">
        <v>14</v>
      </c>
      <c r="B18" s="38" t="s">
        <v>217</v>
      </c>
      <c r="C18" s="42"/>
      <c r="D18" s="40" t="s">
        <v>63</v>
      </c>
      <c r="E18" s="39">
        <v>48</v>
      </c>
      <c r="F18" s="33"/>
    </row>
    <row r="19" s="2" customFormat="1" ht="18" customHeight="1" spans="1:6">
      <c r="A19" s="37">
        <v>15</v>
      </c>
      <c r="B19" s="43" t="s">
        <v>218</v>
      </c>
      <c r="C19" s="42"/>
      <c r="D19" s="40" t="s">
        <v>13</v>
      </c>
      <c r="E19" s="39">
        <v>120</v>
      </c>
      <c r="F19" s="33"/>
    </row>
  </sheetData>
  <mergeCells count="3">
    <mergeCell ref="A1:F1"/>
    <mergeCell ref="A2:F2"/>
    <mergeCell ref="A3:F3"/>
  </mergeCells>
  <printOptions horizontalCentered="1"/>
  <pageMargins left="0" right="0" top="1" bottom="1"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13"/>
  <sheetViews>
    <sheetView topLeftCell="A4" workbookViewId="0">
      <selection activeCell="E16" sqref="E16"/>
    </sheetView>
  </sheetViews>
  <sheetFormatPr defaultColWidth="8" defaultRowHeight="12.75"/>
  <cols>
    <col min="1" max="1" width="6.625" style="2" customWidth="1"/>
    <col min="2" max="2" width="25.625" style="2" customWidth="1"/>
    <col min="3" max="3" width="15.625" style="3" customWidth="1"/>
    <col min="4" max="4" width="6.625" style="2" customWidth="1"/>
    <col min="5" max="5" width="12.625" style="4" customWidth="1"/>
    <col min="6" max="6" width="15.625" style="2" customWidth="1"/>
    <col min="7" max="16384" width="8" style="2"/>
  </cols>
  <sheetData>
    <row r="1" s="1" customFormat="1" ht="22" customHeight="1" spans="1:243">
      <c r="A1" s="5" t="s">
        <v>219</v>
      </c>
      <c r="B1" s="5"/>
      <c r="C1" s="5"/>
      <c r="D1" s="5"/>
      <c r="E1" s="5"/>
      <c r="F1" s="5"/>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row>
    <row r="2" s="2" customFormat="1" ht="56" customHeight="1" spans="1:6">
      <c r="A2" s="6" t="s">
        <v>220</v>
      </c>
      <c r="B2" s="7"/>
      <c r="C2" s="7"/>
      <c r="D2" s="7"/>
      <c r="E2" s="8"/>
      <c r="F2" s="7"/>
    </row>
    <row r="3" s="2" customFormat="1" ht="39" customHeight="1" spans="1:6">
      <c r="A3" s="9" t="s">
        <v>172</v>
      </c>
      <c r="B3" s="9"/>
      <c r="C3" s="9"/>
      <c r="D3" s="9"/>
      <c r="E3" s="10"/>
      <c r="F3" s="9"/>
    </row>
    <row r="4" s="2" customFormat="1" ht="34.5" customHeight="1" spans="1:6">
      <c r="A4" s="11" t="s">
        <v>1</v>
      </c>
      <c r="B4" s="11" t="s">
        <v>221</v>
      </c>
      <c r="C4" s="11" t="s">
        <v>174</v>
      </c>
      <c r="D4" s="11" t="s">
        <v>4</v>
      </c>
      <c r="E4" s="12" t="s">
        <v>175</v>
      </c>
      <c r="F4" s="11" t="s">
        <v>176</v>
      </c>
    </row>
    <row r="5" s="2" customFormat="1" ht="34.5" customHeight="1" spans="1:6">
      <c r="A5" s="13" t="s">
        <v>9</v>
      </c>
      <c r="B5" s="14" t="s">
        <v>222</v>
      </c>
      <c r="C5" s="15"/>
      <c r="D5" s="16"/>
      <c r="E5" s="17"/>
      <c r="F5" s="18"/>
    </row>
    <row r="6" s="2" customFormat="1" ht="27" customHeight="1" spans="1:6">
      <c r="A6" s="19">
        <v>1</v>
      </c>
      <c r="B6" s="20" t="s">
        <v>223</v>
      </c>
      <c r="C6" s="21"/>
      <c r="D6" s="22" t="s">
        <v>53</v>
      </c>
      <c r="E6" s="23">
        <v>7700</v>
      </c>
      <c r="F6" s="24" t="s">
        <v>224</v>
      </c>
    </row>
    <row r="7" s="2" customFormat="1" ht="27" customHeight="1" spans="1:6">
      <c r="A7" s="19">
        <v>2</v>
      </c>
      <c r="B7" s="20" t="s">
        <v>225</v>
      </c>
      <c r="C7" s="21"/>
      <c r="D7" s="22" t="s">
        <v>226</v>
      </c>
      <c r="E7" s="23">
        <v>8150</v>
      </c>
      <c r="F7" s="24" t="s">
        <v>224</v>
      </c>
    </row>
    <row r="8" s="2" customFormat="1" ht="27" customHeight="1" spans="1:7">
      <c r="A8" s="19">
        <v>3</v>
      </c>
      <c r="B8" s="20" t="s">
        <v>227</v>
      </c>
      <c r="C8" s="21"/>
      <c r="D8" s="22" t="s">
        <v>226</v>
      </c>
      <c r="E8" s="23">
        <v>47000</v>
      </c>
      <c r="F8" s="24" t="s">
        <v>228</v>
      </c>
      <c r="G8" s="25"/>
    </row>
    <row r="9" s="2" customFormat="1" ht="27" customHeight="1" spans="1:7">
      <c r="A9" s="19">
        <v>4</v>
      </c>
      <c r="B9" s="20" t="s">
        <v>229</v>
      </c>
      <c r="C9" s="21"/>
      <c r="D9" s="22" t="s">
        <v>230</v>
      </c>
      <c r="E9" s="23">
        <v>37500</v>
      </c>
      <c r="F9" s="24" t="s">
        <v>228</v>
      </c>
      <c r="G9" s="26"/>
    </row>
    <row r="10" s="2" customFormat="1" ht="27" customHeight="1" spans="1:7">
      <c r="A10" s="19">
        <v>5</v>
      </c>
      <c r="B10" s="20" t="s">
        <v>231</v>
      </c>
      <c r="C10" s="21"/>
      <c r="D10" s="22" t="s">
        <v>230</v>
      </c>
      <c r="E10" s="23">
        <v>12000</v>
      </c>
      <c r="F10" s="24" t="s">
        <v>228</v>
      </c>
      <c r="G10" s="26"/>
    </row>
    <row r="11" s="2" customFormat="1" ht="27" customHeight="1" spans="1:6">
      <c r="A11" s="19">
        <v>6</v>
      </c>
      <c r="B11" s="20" t="s">
        <v>232</v>
      </c>
      <c r="C11" s="21"/>
      <c r="D11" s="22" t="s">
        <v>233</v>
      </c>
      <c r="E11" s="23">
        <v>2100</v>
      </c>
      <c r="F11" s="24" t="s">
        <v>224</v>
      </c>
    </row>
    <row r="12" s="2" customFormat="1" ht="27" customHeight="1" spans="1:6">
      <c r="A12" s="27" t="s">
        <v>34</v>
      </c>
      <c r="B12" s="28" t="s">
        <v>234</v>
      </c>
      <c r="C12" s="29"/>
      <c r="D12" s="30"/>
      <c r="E12" s="31"/>
      <c r="F12" s="32"/>
    </row>
    <row r="13" s="2" customFormat="1" ht="27" customHeight="1" spans="1:7">
      <c r="A13" s="33">
        <v>1</v>
      </c>
      <c r="B13" s="34" t="s">
        <v>235</v>
      </c>
      <c r="C13" s="33"/>
      <c r="D13" s="35" t="s">
        <v>236</v>
      </c>
      <c r="E13" s="36">
        <v>1</v>
      </c>
      <c r="F13" s="33" t="s">
        <v>228</v>
      </c>
      <c r="G13" s="25"/>
    </row>
  </sheetData>
  <mergeCells count="4">
    <mergeCell ref="A1:F1"/>
    <mergeCell ref="A2:F2"/>
    <mergeCell ref="A3:F3"/>
    <mergeCell ref="G8:G10"/>
  </mergeCells>
  <printOptions horizontalCentered="1"/>
  <pageMargins left="0" right="0"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清单</vt:lpstr>
      <vt:lpstr>封面</vt:lpstr>
      <vt:lpstr>限价</vt:lpstr>
      <vt:lpstr>甲供主要材料</vt:lpstr>
      <vt:lpstr>临时设施甲供材</vt:lpstr>
      <vt:lpstr>周转材料及大型机械设备表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田静</cp:lastModifiedBy>
  <dcterms:created xsi:type="dcterms:W3CDTF">2019-06-27T06:07:00Z</dcterms:created>
  <dcterms:modified xsi:type="dcterms:W3CDTF">2020-03-19T06:45:55Z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2052-11.1.0.9566</vt:lpwstr>
  </property>
</Properties>
</file>