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清单" sheetId="10" r:id="rId1"/>
    <sheet name="封面" sheetId="5" r:id="rId2"/>
    <sheet name="限价" sheetId="2" r:id="rId3"/>
    <sheet name="甲供主要材料" sheetId="4" r:id="rId4"/>
    <sheet name="临时设施甲供材" sheetId="8" r:id="rId5"/>
    <sheet name="周转材料及大型机械设备表" sheetId="9" r:id="rId6"/>
  </sheets>
  <definedNames>
    <definedName name="_xlnm.Print_Titles" localSheetId="2">限价!$1:$2</definedName>
    <definedName name="_xlnm.Print_Area" localSheetId="3">甲供主要材料!$A$1:$F$19</definedName>
    <definedName name="_xlnm.Print_Area" localSheetId="4">临时设施甲供材!$A$1:$F$19</definedName>
    <definedName name="_xlnm.Print_Area" localSheetId="5">周转材料及大型机械设备表!$A$1:$F$19</definedName>
    <definedName name="_xlnm.Print_Titles" localSheetId="0">清单!$1:$2</definedName>
  </definedNames>
  <calcPr calcId="144525" concurrentCalc="0"/>
</workbook>
</file>

<file path=xl/comments1.xml><?xml version="1.0" encoding="utf-8"?>
<comments xmlns="http://schemas.openxmlformats.org/spreadsheetml/2006/main">
  <authors>
    <author>Administrator</author>
  </authors>
  <commentList>
    <comment ref="B239" authorId="0">
      <text>
        <r>
          <rPr>
            <b/>
            <sz val="9"/>
            <rFont val="宋体"/>
            <charset val="134"/>
          </rPr>
          <t>Administrator
未提供材料价格，暂借用</t>
        </r>
        <r>
          <rPr>
            <sz val="9"/>
            <rFont val="宋体"/>
            <charset val="134"/>
          </rPr>
          <t>借用R13面板灯</t>
        </r>
      </text>
    </comment>
    <comment ref="B245" authorId="0">
      <text>
        <r>
          <rPr>
            <b/>
            <sz val="9"/>
            <rFont val="宋体"/>
            <charset val="134"/>
          </rPr>
          <t>Administrator:</t>
        </r>
        <r>
          <rPr>
            <sz val="9"/>
            <rFont val="宋体"/>
            <charset val="134"/>
          </rPr>
          <t xml:space="preserve">
未提供材料价格 暂按2200计入</t>
        </r>
      </text>
    </comment>
    <comment ref="B246" authorId="0">
      <text>
        <r>
          <rPr>
            <b/>
            <sz val="9"/>
            <rFont val="宋体"/>
            <charset val="134"/>
          </rPr>
          <t>Administrator:</t>
        </r>
        <r>
          <rPr>
            <sz val="9"/>
            <rFont val="宋体"/>
            <charset val="134"/>
          </rPr>
          <t xml:space="preserve">
未提供材料价格，暂按照R5嵌入式双头筒灯计入</t>
        </r>
      </text>
    </comment>
  </commentList>
</comments>
</file>

<file path=xl/comments2.xml><?xml version="1.0" encoding="utf-8"?>
<comments xmlns="http://schemas.openxmlformats.org/spreadsheetml/2006/main">
  <authors>
    <author>Administrator</author>
  </authors>
  <commentList>
    <comment ref="B239" authorId="0">
      <text>
        <r>
          <rPr>
            <b/>
            <sz val="9"/>
            <rFont val="宋体"/>
            <charset val="134"/>
          </rPr>
          <t>Administrator
未提供材料价格，暂借用</t>
        </r>
        <r>
          <rPr>
            <sz val="9"/>
            <rFont val="宋体"/>
            <charset val="134"/>
          </rPr>
          <t>借用R13面板灯</t>
        </r>
      </text>
    </comment>
    <comment ref="B245" authorId="0">
      <text>
        <r>
          <rPr>
            <b/>
            <sz val="9"/>
            <rFont val="宋体"/>
            <charset val="134"/>
          </rPr>
          <t>Administrator:</t>
        </r>
        <r>
          <rPr>
            <sz val="9"/>
            <rFont val="宋体"/>
            <charset val="134"/>
          </rPr>
          <t xml:space="preserve">
未提供材料价格 暂按2200计入</t>
        </r>
      </text>
    </comment>
    <comment ref="B246" authorId="0">
      <text>
        <r>
          <rPr>
            <b/>
            <sz val="9"/>
            <rFont val="宋体"/>
            <charset val="134"/>
          </rPr>
          <t>Administrator:</t>
        </r>
        <r>
          <rPr>
            <sz val="9"/>
            <rFont val="宋体"/>
            <charset val="134"/>
          </rPr>
          <t xml:space="preserve">
未提供材料价格，暂按照R5嵌入式双头筒灯计入</t>
        </r>
      </text>
    </comment>
  </commentList>
</comments>
</file>

<file path=xl/sharedStrings.xml><?xml version="1.0" encoding="utf-8"?>
<sst xmlns="http://schemas.openxmlformats.org/spreadsheetml/2006/main" count="3626" uniqueCount="662">
  <si>
    <r>
      <rPr>
        <b/>
        <u/>
        <sz val="18"/>
        <rFont val="宋体"/>
        <charset val="134"/>
      </rPr>
      <t xml:space="preserve"> 西北工业大学科创中心教学科研基地室内装修工程 </t>
    </r>
    <r>
      <rPr>
        <b/>
        <sz val="18"/>
        <rFont val="宋体"/>
        <charset val="134"/>
      </rPr>
      <t>工程劳务分包
清单报价表</t>
    </r>
  </si>
  <si>
    <t>序号</t>
  </si>
  <si>
    <t>清单项目名称</t>
  </si>
  <si>
    <t>项目特征及工作内容</t>
  </si>
  <si>
    <t>单位</t>
  </si>
  <si>
    <t>工程量</t>
  </si>
  <si>
    <t>综合单价(元）</t>
  </si>
  <si>
    <t>合价（元）</t>
  </si>
  <si>
    <t>备注</t>
  </si>
  <si>
    <t>一</t>
  </si>
  <si>
    <t>A区（装饰工程）</t>
  </si>
  <si>
    <t>砌筑工程</t>
  </si>
  <si>
    <t>零星砌砖</t>
  </si>
  <si>
    <t>[项目特征]
1.零星砌砖名称、部位:卫生间地台
2.砖品种、规格、强度等级:页岩砖
3.砂浆强度等级、配合比:M5水泥砂浆（水泥：红狮325M）
[工作内容]
1.砂浆制作、运输
2.砌砖
3.刮缝
4.材料运输</t>
  </si>
  <si>
    <t>m3</t>
  </si>
  <si>
    <t>1.计量规则：按《重庆市建筑工程计价定额》（2018版）及其相关规定计算</t>
  </si>
  <si>
    <t>陶粒砼回填</t>
  </si>
  <si>
    <t>[项目特征]
1.部位:卫生间地台
2.混凝土种类:陶粒砼
[工作内容]
1.模板及支撑制作、安装、拆除、堆放、运输及清理模内杂物、刷隔离剂等
2.混凝土制作、运输、浇筑、振捣、养护</t>
  </si>
  <si>
    <t>门窗工程</t>
  </si>
  <si>
    <t>成品框架实木套装门-双开门</t>
  </si>
  <si>
    <t>[项目特征]
1.门代号及洞口尺寸:综合考虑
2.五金品种、厚度：坚朗 3.品牌：向阳
[工作内容]
1.门安装
2.五金安装</t>
  </si>
  <si>
    <t>m2</t>
  </si>
  <si>
    <t>成品框架实木套装门-单开门</t>
  </si>
  <si>
    <t>成品框架实木套装门-装饰板</t>
  </si>
  <si>
    <t>[项目特征]
1.门代号及洞口尺寸:综合考虑 2.品牌：向阳
[工作内容]
1.木门装饰板制作、安装
2.运输</t>
  </si>
  <si>
    <t>石膏板消防栓暗门</t>
  </si>
  <si>
    <t>[项目特征]
1.门框或扇外围尺寸:综合考虑
2.材料品种、厚度:防火岩棉（普莱斯德），3mm厚黑色发纹不锈钢，9.5mm防火石膏板（泰山），20*40镀锌方钢
3.其他:鸡咀铰，暗门拉手等
4.其他:详见I-W-DT12
[工作内容]
1.门安装
2.玻璃安装
3.五金安装</t>
  </si>
  <si>
    <t>陶瓷薄板暗门</t>
  </si>
  <si>
    <t>[项目特征]
1.门框或扇外围尺寸:综合考虑
2.框、扇材质:陶瓷薄板，9.5mm防火石膏板（泰山），30*30热镀锌方钢
3.五金品种、规格:门挡，热镀锌干挂件，暗门门轴等
4.其他:详见I-W-DT13
[工作内容]
1.门安装
2.五金安装</t>
  </si>
  <si>
    <t>300*600瓷砖CT03暗门</t>
  </si>
  <si>
    <t>[项目特征]
1.门框或扇外围尺寸:综合考虑
2.框、扇材质:300*600瓷砖（麦高64940），9.5mm防火石膏板（泰山），30*30热镀锌方钢
3.五金品种、规格:门挡，热镀锌干挂件，暗门门轴等
4.其他:详见I-W-DT13
[工作内容]
1.门安装
2.五金安装</t>
  </si>
  <si>
    <t>300*600瓷砖CT08瓷砖暗门{夹层厨房}</t>
  </si>
  <si>
    <t>[项目特征]
1.门框或扇外围尺寸:综合考虑
2.框、扇材质:300*600瓷砖（博宝W6），9.5mm防火石膏板（泰山），30*30热镀锌方钢
3.五金品种、规格:门挡，热镀锌干挂件，暗门门轴等
4.其他:详见I-W-DT13
[工作内容]
1.门安装
2.五金安装</t>
  </si>
  <si>
    <t>1.2mm厚发纹不锈钢门套</t>
  </si>
  <si>
    <t>[项目特征]
1.门窗套展开宽度:综合考虑
2.基层材料种类:成品套装门套
3.面层材料品种、规格:1.2mm厚黑色发纹不锈钢
[工作内容]
1.清理基层
2.面层铺贴
3.材料运输</t>
  </si>
  <si>
    <t>卫生间垭口套</t>
  </si>
  <si>
    <t>[项目特征]
1.门窗套展开宽度:综合考虑
2.基层材料种类:15mm阻燃板（恒隆安）
3.面层材料品种、规格:1.2mm厚黑色发纹不锈钢
[工作内容]
1.清理基层
2.基层板安装
3.面层铺贴
4.材料运输</t>
  </si>
  <si>
    <t>电梯门套</t>
  </si>
  <si>
    <t>[项目特征]
1.门窗套展开宽度:综合考虑
2.基层材料种类:30*30热镀锌方钢,15mm阻燃板（恒隆安）
3.面层材料品种、规格:1.2mm厚黑色发纹不锈钢
4.其他:详见I-W-DT05-25~26
[工作内容]
1.清理基层
2.龙骨制作、安装
3.基层板安装
4.面层铺贴
5.材料运输</t>
  </si>
  <si>
    <t>樘</t>
  </si>
  <si>
    <t>吊顶暗窗帘盒</t>
  </si>
  <si>
    <t>[项目特征]
1.窗帘盒材质、规格:200mm宽
2.龙骨材料种类、规格、中距:镀锌角铁
3.基层材料种类、规格:15mm阻燃板（恒隆安）
4.面层材料品种、规格:9.5mm防潮石膏板（泰山）
5.其他:详见I-W-DT08-39~41，I-W-DT15-70
[工作内容]
1.制作、运输、安装
2.刷防护材料</t>
  </si>
  <si>
    <t>m</t>
  </si>
  <si>
    <t>明窗帘盒</t>
  </si>
  <si>
    <t>[项目特征]
1.窗帘盒材质、规格:200mm宽
2.龙骨材料种类、规格、中距:木龙骨
3.基层材料种类、规格:15mm阻燃板（恒隆安）
4.面层材料品种、规格:9.5mm防潮石膏板（泰山）
5.防护材料种类:饰面型防火涂料3遍
6.其他:详见I-W-DT09-42
[工作内容]
1.制作、运输、安装
2.刷防护材料</t>
  </si>
  <si>
    <t>1.2mm厚抗指纹钢质套装门(201#不锈钢）</t>
  </si>
  <si>
    <t>[项目特征]
1.门代号及洞口尺寸:综合考虑
2.五金品种、厚度：坚朗
[工作内容]
1.门安装
2.五金安装</t>
  </si>
  <si>
    <t>防水工程</t>
  </si>
  <si>
    <t>地面1.5mm厚JS防水</t>
  </si>
  <si>
    <t>[项目特征]
1.涂膜厚度、遍数:1.5mm厚JS防水涂料，分三次涂刷（卓宝）
2.反边高度:300mm
3.其他:详见I-W-DT02-07
[工作内容]
1.基层处理
2.刷基层处理剂
3.铺布、喷涂防水层</t>
  </si>
  <si>
    <t>墙面1.5mm厚JS防水</t>
  </si>
  <si>
    <t>[项目特征]
1.涂膜厚度、遍数:11.5mm厚JS防水涂料，分三次涂刷（卓宝）
2.高度:1800mm
3.其他:详见I-W-DT02-12
[工作内容]
1.基层处理
2.刷基层处理剂
3.铺布、喷涂防水层</t>
  </si>
  <si>
    <t>建筑伸缩缝乳胶漆墙面</t>
  </si>
  <si>
    <t>[项目特征]
1.嵌缝材料种类:成品构件
2.止水带材料种类:满足设计及规范要求
3.盖缝材料:9.5mm防潮石膏板（泰山）
4.其他:详见I-W-DT05-29
[工作内容]
1.清缝
2.填塞防水材料
3.止水带安装
4.盖缝制作、安装
5.刷防护材料</t>
  </si>
  <si>
    <t>建筑伸缩地砖地面</t>
  </si>
  <si>
    <t>[项目特征]
1.嵌缝材料种类:抗震弹簧，铝合金基座
2.止水带材料种类:满足设计及规范要求
3.盖缝材料:地砖饰面,DTG擦缝，5mm厚DTA砂浆（水泥：红狮325M）粘贴层
4.其他:详见I-W-DT05-30
[工作内容]
1.清缝
2.填塞防水材料
3.止水带安装
4.盖缝制作、安装
5.刷防护材料</t>
  </si>
  <si>
    <t>楼地面装饰工程</t>
  </si>
  <si>
    <t>20~25mm厚DS干拌砂浆找平层</t>
  </si>
  <si>
    <t>[项目特征]
1.找平层厚度、砂浆配合比:20~25mm厚DS干拌砂浆（水泥：红狮325M）
2.其他:详见I-W-DT02-07
[工作内容]
1.基层清理
2.抹找平层
3.材料运输</t>
  </si>
  <si>
    <t>25~35mm厚DS干拌砂浆找平层</t>
  </si>
  <si>
    <t>[项目特征]
1.找平层厚度、砂浆配合比:20~25mm厚DS干拌砂浆（水泥：红狮325M）
2.其他:详见I-W-DT01-06
[工作内容]
1.基层清理
2.抹找平层
3.材料运输</t>
  </si>
  <si>
    <t>20mm厚1：3水泥砂浆找平层</t>
  </si>
  <si>
    <t>[项目特征]
1.部位:管井地面
2.面层厚度、砂浆配合比:20mm厚1：3水泥砂浆（水泥：红狮325M）
[工作内容]
1.基层清理
2.抹找平层
3.材料运输</t>
  </si>
  <si>
    <t>水泥自流平</t>
  </si>
  <si>
    <t>[项目特征]
1.面层厚度、砂浆配合比:水泥地面固化处理
[工作内容]
1.基层清理
2.抹找平层
3.材料运输</t>
  </si>
  <si>
    <t>瓷砖600X600地面-CT-01</t>
  </si>
  <si>
    <t>[项目特征]
1.结合层厚度、砂浆配合比:5mm厚DTA砂浆（水泥：红狮325M）
2.面层材料品种、规格、颜色:瓷砖600X600（麦高64928）
3.嵌缝材料种类:DTG擦缝
4.其他:详见I-W-DT01-06
[工作内容]
1.基层清理
2.面层铺设、磨边
3.嵌缝
4.材料运输</t>
  </si>
  <si>
    <t>瓷砖300X300地面-CT-02</t>
  </si>
  <si>
    <t>[项目特征]
1.保护层厚度、砂浆配合比:10mm厚1:1水泥砂浆（水泥：红狮325M）
2.结合层厚度、砂浆配合比:5mm厚DTA砂浆（水泥：红狮325M）
3.面层材料品种、规格、颜色:瓷砖300X300（麦高64936）
4.嵌缝材料种类:DTG擦缝
5.其他:详见I-W-DT02-07
[工作内容]
1.基层清理
2.抹保护层
3.面层铺设、磨边
4.嵌缝
5.材料运输</t>
  </si>
  <si>
    <t>水泥地面-CB-03</t>
  </si>
  <si>
    <t>[项目特征]
1.面层厚度、砂浆配合比:水泥地面-CB-03
[工作内容]
1.基层清理
2.抹找平层
3.材料运输</t>
  </si>
  <si>
    <t>瓷砖600X1200地面-CT-04</t>
  </si>
  <si>
    <t>[项目特征]
1.保护层厚度、砂浆配合比:10mm厚1:1水泥砂浆（水泥：红狮325M）
2.结合层厚度、砂浆配合比:5mm厚DTA砂浆（水泥：红狮325M）
3.面层材料品种、规格、颜色:瓷砖600X1200地面（品牌：BOBO，型号：PN03T513419)
4.嵌缝材料种类:DTG擦缝
5.其他:详见I-W-DT02-07
[工作内容]
1.基层清理
2.抹保护层
3.面层铺设、磨边
4.嵌缝
5.材料运输</t>
  </si>
  <si>
    <t>瓷砖600X1200地面-CT-09</t>
  </si>
  <si>
    <t>缸砖300X300地面-CT-07</t>
  </si>
  <si>
    <t>[项目特征]
1.保护层厚度、砂浆配合比:10mm厚1:1水泥砂浆（水泥：红狮325M）
2.结合层厚度、砂浆配合比:5mm厚DTA砂浆（水泥：红狮325M）
3.面层材料品种、规格、颜色:缸砖300X300(如松陶X3304）
4.嵌缝材料种类:DTG擦缝
5.其他:详见I-W-DT02-07
[工作内容]
1.基层清理
2.抹保护层
3.面层铺设、磨边
4.嵌缝
5.材料运输</t>
  </si>
  <si>
    <t>600*600地毯地面-CP-01</t>
  </si>
  <si>
    <t>[项目特征]
1.找平层厚度、砂浆配合比:10mm厚DS干拌砂浆（水泥：红狮325M）抹面压实赶光(包含5mm自流平找平层)
2.面层材料品种、规格、颜色:600*600*4.5mm厚地毯（道成、大于、海马）
3.粘结材料种类:拼接处用烫带或夹条麻袋布条粘接
4.压线条种类:满足设计及规范要求
5.其他:详见I-W-DT02-10
[工作内容]
1.基层清理
2.铺贴面层
3.刷防护材料
4.装钉压条
5.材料运输</t>
  </si>
  <si>
    <t>600*600地毯地面-CP-02</t>
  </si>
  <si>
    <t>防静电活动地板-CB-04</t>
  </si>
  <si>
    <t>[项目特征]
1.支架高度、材料种类:满足设计及规范要求
2.面层材料品种、规格、颜色:全钢防静电地板
[工作内容]
1.基层清理
2.固定支架安装
3.活动面层安装
4.刷防护材料
5.材料运输</t>
  </si>
  <si>
    <t>梯步100mm砖踢脚线</t>
  </si>
  <si>
    <t>[项目特征]
1.踢脚线高度:100mm
2.粘贴层厚度、材料种类:5mm厚DTA砂浆（水泥：红狮325M）
3.面层材料品种、规格、颜色:瓷砖600X600（麦高6502）
4.勾缝材料种类:DTG擦缝
[工作内容]
1.基层清理
2.底层抹灰
3.面层铺贴、磨边
4.勾缝
5.材料运输</t>
  </si>
  <si>
    <t>黑色发纹不锈钢踢脚线</t>
  </si>
  <si>
    <t>[项目特征]
1.踢脚线高度:60mm
2.基层材料种类、规格:15mm阻燃板（恒隆安）
3.面层材料品种、规格、颜色:1.2mm厚黑色发纹不锈钢
4.其他:详见I-W-DT05-26，I-W-DT07-36
[工作内容]
1.基层清理
2.基层铺贴
3.面层铺贴
4.材料运输</t>
  </si>
  <si>
    <t>瓷砖600X600楼梯梯步砖-CT-01（含转台）</t>
  </si>
  <si>
    <t>[项目特征]
1.找平层厚度、砂浆配合比:25~35mm厚DS干拌砂浆（水泥：红狮325M）
2.粘结层厚度、材料种类:5mm厚DTA砂浆（水泥：红狮325M）
3.面层材料品种、规格、颜色:瓷砖600X600（麦高6502）
4.防滑条材料种类、规格:加工3mm槽，每步3条
5.勾缝材料种类:DTG擦缝
[工作内容]
1.基层清理
2.抹找平层
3.面层铺贴、磨边
4.贴嵌防滑条
5.勾缝
6.材料运输</t>
  </si>
  <si>
    <t>成品实木板楼梯面层</t>
  </si>
  <si>
    <t>[项目特征]
1.基层材料种类、规格:15mm阻燃板（恒隆安）
2.面层材料品种、规格、颜色:成品20mm厚实木踏步
3.计算说明:按展开面积计算
4.其他:详见I-W-DT18~23
[工作内容]
1.基层清理
2.基层铺贴
3.面层铺贴
4.刷防护材料
5.材料运输</t>
  </si>
  <si>
    <t>波导线-ST-02</t>
  </si>
  <si>
    <t>[项目特征]
1.贴结合层厚度、材料种类:5mm厚DTA砂浆（水泥：红狮325M）
2.面层材料品种、规格、颜色:20mm厚进口云朵拉灰大理石（综合考虑六面防护、酸洗、打蜡、背面挂网、磨边）
3.勾缝材料种类:DTG擦缝
[工作内容]
1.清理基层
2.抹找平层
3.面层铺贴、磨边
4.勾缝
5.刷防护材料
6.酸洗、打蜡
7.材料运输</t>
  </si>
  <si>
    <t>门槛石-ST-02</t>
  </si>
  <si>
    <t>[项目特征]
1.工程部位:门槛石
2.贴结合层厚度、材料种类:5mm厚DTA砂浆（水泥：红狮325M）
3.面层材料品种、规格、颜色:20mm厚进口云朵拉灰大理石（综合考虑六面防护、酸洗、打蜡、背面挂网）
4.勾缝材料种类:DTG擦缝
5.磨边:满足设计及规范要求
6.其他:详见I-W-DT02-08
[工作内容]
1.清理基层
2.面层铺贴、磨边
3.勾缝
4.刷防护材料
5.酸洗、打蜡
6.材料运输</t>
  </si>
  <si>
    <t>云朵拉灰石材台板</t>
  </si>
  <si>
    <t>[项目特征]
1.工程部位:栏杆下反槛
2.找平层厚度、砂浆配合比:30mm厚DS干拌砂浆（水泥：红狮325M）找平层
3.贴结合层厚度、材料种类:5mm厚DTA砂浆（水泥：红狮325M）粘贴层
4.面层材料品种、规格、颜色:进口云朵拉灰大理石台板
5.勾缝材料种类:云石胶调色
6.防护材料种类:抗碱背涂
[工作内容]
1.清理基层
2.抹找平层
3.面层铺贴、磨边
4.勾缝
5.刷防护材料
6.酸洗、打蜡
7.材料运输</t>
  </si>
  <si>
    <t>梯步零星项目（踢脚线三角板）</t>
  </si>
  <si>
    <t>[项目特征]
1.工程部位:楼梯
2.贴结合层厚度、材料种类:5mm厚DTA砂浆（水泥：红狮325M）
3.面层材料品种、规格、颜色:瓷砖600X600（麦高6502）
4.勾缝材料种类:DTG擦缝
[工作内容]
1.清理基层
2.抹找平层
3.面层铺贴、磨边
4.勾缝
5.材料运输</t>
  </si>
  <si>
    <t>地砖伸缩缝</t>
  </si>
  <si>
    <t>[项目特征]
1.嵌缝材料种类:胶条 ，水泥聚苯块填严 
2.盖缝材料:铝合金成品伸缩缝 
3.其他:详见I-W-DT04-22
[工作内容]
1.清缝
2.填塞嵌缝材料
3.盖缝制作、安装</t>
  </si>
  <si>
    <t>实验室玻璃幕墙插座地台</t>
  </si>
  <si>
    <t>[项目特征]
1.龙骨材料种类、规格、铺设间距:20*40*3热镀锌方钢@600
2.基层材料品种、规格、颜色:10mm硅酸钙板（金俞）
3.面层材料品种、规格、颜色:拉丝不锈钢
4.其他:详见I-W-DT16-68
[工作内容]
1.基层清理
2.龙骨铺设
3.面层铺设
4.刷防护材料
5.材料运输</t>
  </si>
  <si>
    <t>50mm厚C25细石砼找平层</t>
  </si>
  <si>
    <t>[项目特征]
1.找平层厚度、砂浆配合比:50mm厚C25细石砼
[工作内容]
1.基层清理
2.抹找平层
3.材料运输</t>
  </si>
  <si>
    <t>墙、柱面装饰与隔断、幕墙工程</t>
  </si>
  <si>
    <t>墙面一般抹灰</t>
  </si>
  <si>
    <t>[项目特征]
1.墙体类型:卫生间钢架隔墙
2.面层厚度、砂浆配合比:15mm厚1:2挂网水泥砂浆（水泥：红狮325M）
3.其他:详见I-W-DT02-09
[工作内容]
1.基层清理
2.砂浆制作、运输
3.抹面层</t>
  </si>
  <si>
    <t>300*600瓷砖墙面（卫生间）</t>
  </si>
  <si>
    <t>[项目特征]
1.墙体类型:综合考虑
2.安装方式:高强度薄胶泥粘接层
3.面层材料品种、规格、颜色:300*600瓷砖（麦高64940）
4.缝宽、嵌缝材料种类:DTG砂浆勾缝
5.其他:详见I-W-DT02-12，I-W-DT03-18
[工作内容]
1.基层清理
2.粘结层铺贴
3.面层安装
4.嵌缝</t>
  </si>
  <si>
    <t>300*600瓷砖墙面（厨房）</t>
  </si>
  <si>
    <t>[项目特征]
1.墙体类型:综合考虑
2.安装方式:高强度薄胶泥粘接层
3.面层材料品种、规格、颜色:300*600瓷砖（博宝W6W6）
4.缝宽、嵌缝材料种类:DTG砂浆勾缝
5.其他:详见I-W-DT02-12，I-W-DT03-18
[工作内容]
1.基层清理
2.粘结层铺贴
3.面层安装
4.嵌缝</t>
  </si>
  <si>
    <t>600*1200陶瓷薄板墙面</t>
  </si>
  <si>
    <t>[项目特征]
1.墙体类型:综合考虑
2.安装方式:高强度薄胶泥粘接层
3.面层材料品种、规格、颜色:600*1200陶瓷薄板（品牌：BOBO，型号：PN03T513419)
4.缝宽、嵌缝材料种类:DTG砂浆勾缝
5.其他:详见I-W-DT02-11，I-W-DT03-18
[工作内容]
1.基层清理
2.粘结层铺贴
3.面层安装
4.嵌缝</t>
  </si>
  <si>
    <t>面包砖</t>
  </si>
  <si>
    <t>[项目特征]
1.墙体类型:综合考虑
2.安装方式:高强度薄胶泥粘接层
3.面层材料品种、规格、颜色:150*75面包砖
4.缝宽、嵌缝材料种类:DTG砂浆勾缝
5.其他:详见I-W-DT02-11
[工作内容]
1.基层清理
2.粘结层铺贴
3.面层安装
4.嵌缝</t>
  </si>
  <si>
    <t>背漆玻璃墙面</t>
  </si>
  <si>
    <t>[项目特征]
1.龙骨材料种类、规格、中距:50卡件龙骨@400mm
2.基层材料种类、规格:15mm厚阻燃板（恒隆安）
3.面层材料品种、规格、颜色:10mm厚超白烤漆玻璃（信义）
4.其他:详见I-W-DT04-20~21、23~24
[工作内容]
1.基层清理
2.龙骨制作、运输、安装
3.基层铺钉
4.面层铺贴</t>
  </si>
  <si>
    <t>穿孔吸音板墙面</t>
  </si>
  <si>
    <t>[项目特征]
1.龙骨材料种类、规格、中距:75轻钢龙骨@400（顶航），8螺杆对拉@600
2.隔离层材料种类、规格:岩棉（普莱斯德）
3.基层材料种类、规格:15mm阻燃板（恒隆安）
4.面层材料品种、规格、颜色:12mm厚穿孔吸音板（向阳）
5.其他:详见I-W-DT07-31a
[工作内容]
1.基层清理
2.龙骨制作、运输、安装
3.钉隔离层
4.基层铺钉
5.面层铺贴</t>
  </si>
  <si>
    <t>铝板(白色)防火卷帘墙面</t>
  </si>
  <si>
    <t>[项目特征]
1.龙骨材料种类、规格、中距:20*40*3热镀锌方钢
2.面层材料品种、规格、颜色:白色铝板(拓普或者西亚），含专用龙骨
3.其他:详见I-W-DT07-30
[工作内容]
1.基层清理
2.龙骨制作、运输、安装
3.面层铺贴</t>
  </si>
  <si>
    <t>石膏板+阻燃板包圆柱</t>
  </si>
  <si>
    <t>[项目特征]
1.龙骨材料种类、规格、中距:龙骨及定制构件定向支撑包柱
2.基层材料种类、规格:9mm阻燃板（恒隆安）
3.面层材料品种、规格、颜色:9.5mm石膏板（泰山盾牌）
4.其他:详见I-W-DT05-29
[工作内容]
1.清理基层
2.龙骨制作、运输、安装
3.基层铺钉
4.面层铺贴</t>
  </si>
  <si>
    <t>石膏板+阻燃板挑空包梁</t>
  </si>
  <si>
    <t>[项目特征]
1.龙骨材料种类、规格、中距:20*40*3热镀锌方钢@600
2.基层材料种类、规格:15mm阻燃板（恒隆安）
3.面层材料品种、规格、颜色:9.5mm防潮石膏板(泰山）
4.其他:详见I-W-DT10-43，I-W-DT14-56，I-W-DT15-59
[工作内容]
1.清理基层
2.龙骨制作、运输、安装
3.钉隔离层
4.基层铺钉
5.面层铺贴</t>
  </si>
  <si>
    <t>石膏板+阻燃板轻钢龙骨隔墙</t>
  </si>
  <si>
    <t>[项目特征]
1.骨架、边框材料种类、规格:天地75型国际轻钢龙骨;竖向75型国际轻钢龙骨间距400;38横向龙骨连接与主龙骨卡件固定（顶航） 
2.隔离层材料种类、规格:60厚150kg/m3岩棉（普莱斯德） 
3.隔板材料品种、规格、颜色:双面15mm厚阻燃板（恒隆安）,9.5mm防潮石膏板（泰山）
4.嵌缝、塞口材料品种:满足设计及规范要求
5.其他:详见I-W-DT02-13，I-W-DT03-14、16~17
[工作内容]
1.骨架及边框制作、运输、安装
2.隔离层制作、运输、安装
3.隔板制作、运输、安装
4.嵌缝、塞口</t>
  </si>
  <si>
    <t>卫生间硅酸钙板钢架隔墙</t>
  </si>
  <si>
    <t>[项目特征]
1.骨架、边框材料种类、规格:40*80*3镀锌方钢@600
2.隔离层材料种类、规格:隔音岩棉(容重不小于100GK/m3)（普莱斯德）
3.隔板材料品种、规格、颜色:双面单层10mm厚硅酸钙板（金俞）
4.其他:详见I-W-DT02-09
[工作内容]
1.骨架及边框制作、运输、安装
2.隔离层制作、运输、安装
3.隔板制作、运输、安装
4.嵌缝、塞口</t>
  </si>
  <si>
    <t>石膏板钢架包管</t>
  </si>
  <si>
    <t>[项目特征]
1.骨架、边框材料种类、规格:20*40*3mm镀锌方钢竖向@300，横向@600
2.基层材料种类、规格:9mm阻燃板（恒隆安）
3.面层材料品种、规格、颜色:9.5mm防潮石膏板（泰山)
4.嵌缝、塞口材料品种:满足设计及规范要求
5.其他:详见I-W-DT05-27，I-W-DT06-B
[工作内容]
1.骨架及边框制作、运输、安装
2.基层制作、运输、安装
3.面层制作、运输、安装
4.嵌缝、塞口</t>
  </si>
  <si>
    <t>水泥压力板钢架包管</t>
  </si>
  <si>
    <t>[项目特征]
1.骨架、边框材料种类、规格:20*40*3mm镀锌方钢竖向@300，横向@600
2.面层材料品种、规格、颜色:12mm厚水泥压力板（金俞）
3.嵌缝、塞口材料品种:满足设计及规范要求
4.其他:详见I-W-DT05-28
[工作内容]
1.骨架及边框制作、运输、安装
2.面层制作、运输、安装
3.嵌缝、塞口</t>
  </si>
  <si>
    <t>玻璃隔断</t>
  </si>
  <si>
    <t>[项目特征]
1.边框材料种类、规格:1.2mm黑色发纹不锈钢
2.玻璃品种、规格、颜色:10mm超白钢化玻璃（信义）
3.嵌缝、塞口材料品种:满足设计及规范要求
[工作内容]
1.边框制作、运输、安装
2.玻璃制作、运输、安装
3.嵌缝、塞口</t>
  </si>
  <si>
    <t>1.2mm厚黑色发纹不锈钢收口</t>
  </si>
  <si>
    <t>[项目特征]
1.部位:轻钢龙骨隔墙与成品玻璃隔断收口、乳胶漆饰面洞口收口
2.基层材料种类、规格:15mm厚阻燃板（恒隆安）
3.面层材料品种、规格、颜色:1.2mm厚黑色发纹不锈钢
4.其他:详见I-W-DT24-89
[工作内容]
1.基层清理
2.基层铺钉
3.面层铺贴</t>
  </si>
  <si>
    <t>2mm厚黑色发纹不锈钢收口</t>
  </si>
  <si>
    <t>[项目特征]
1.部位:轻钢龙骨隔墙与成品玻璃隔断收口、乳胶漆饰面洞口收口
2.基层材料种类、规格:15mm厚阻燃板（恒隆安）
3.面层材料品种、规格、颜色:2mm厚黑色发纹不锈钢
4.其他:详见I-W-DT25-96c
[工作内容]
1.基层清理
2.基层铺钉
3.面层铺贴</t>
  </si>
  <si>
    <t>拉丝不锈钢墙面</t>
  </si>
  <si>
    <t>[项目特征]
1.部位:轻钢龙骨隔墙与成品玻璃隔断收口、乳胶漆饰面洞口收口
2.基层材料种类、规格:15mm厚阻燃板（恒隆安）
3.面层材料品种、规格、颜色:1.2mm厚黑色发纹不锈钢
4.其他:无大样图？？
[工作内容]
1.基层清理
2.基层铺钉
3.面层铺贴</t>
  </si>
  <si>
    <t>楼梯间石膏板+阻燃板挑空包梁</t>
  </si>
  <si>
    <t>[项目特征]
1.龙骨材料种类、规格、中距:20*40*3热镀锌方钢@600
2.基层材料种类、规格:15mm阻燃板（恒隆安）
3.面层材料品种、规格、颜色:9.5mm防火石膏板(泰山）
4.其他:详见I-W-DT10-43，I-W-DT14-56，I-W-DT15-59
[工作内容]
1.清理基层
2.龙骨制作、运输、安装
3.钉隔离层
4.基层铺钉
5.面层铺贴</t>
  </si>
  <si>
    <t>防水石膏板封面</t>
  </si>
  <si>
    <t>[项目特征]
1.面层材料品种、规格、颜色:9.5mm防潮石膏板(泰山）
[工作内容]
1.清理基层
2.面层铺贴</t>
  </si>
  <si>
    <t>H型钢填补</t>
  </si>
  <si>
    <t>[项目特征]
1.零星砌砖名称、部位:H型钢填补
2.砖品种、规格、强度等级:加气砖
3.砂浆强度等级、配合比:M5水泥砂浆（水泥：红狮325M）
[工作内容]
1.砂浆制作、运输
2.砌砖
3.刮缝
4.材料运输</t>
  </si>
  <si>
    <t>H型钢填补墙面一般抹灰</t>
  </si>
  <si>
    <t>[项目特征]
1.墙体类型:卫生间钢架隔墙
2.面层厚度、砂浆配合比:15mm厚1:2挂网水泥砂浆抹灰
[工作内容]
1.基层清理
2.砂浆制作、运输
3.抹面层</t>
  </si>
  <si>
    <t>天棚工程</t>
  </si>
  <si>
    <t>双层石膏板吊顶-平级</t>
  </si>
  <si>
    <t>[项目特征]
1.吊顶形式、吊杆规格、高度:8吊杆
2.龙骨材料种类、规格、中距:U型轻钢主龙骨CB50X20,中距≤1200;U型轻钢次龙骨CB50X20中距429（顶航）
3.面层材料品种、规格:双层9.5mm石膏板（泰山盾牌）
4.其他:详见I-W-DT001-01，I-W-DT005-28
[工作内容]
1.基层清理、吊杆安装
2.龙骨安装
3.面层铺贴</t>
  </si>
  <si>
    <t>双层石膏板吊顶-叠级</t>
  </si>
  <si>
    <t>[项目特征]
1.吊顶形式、吊杆规格、高度:8吊杆
2.龙骨材料种类、规格、中距:U型轻钢主龙骨CB50X20,中距≤1200;U型轻钢次龙骨CB50X20中距429（顶航）
3.面层材料品种、规格:双层9.5mm石膏板（泰山盾牌）
4.其他:详见I-W-DT09-45~48
[工作内容]
1.基层清理、吊杆安装
2.龙骨安装
3.基层板铺贴
4.面层铺贴</t>
  </si>
  <si>
    <t>双层防水石膏板吊顶-平级</t>
  </si>
  <si>
    <t>[项目特征]
1.转换层材料种类、规格、中距:天花吊顶石膏板完成面上方300mm处用40*40镀锌角铁制作转换钢架
2.吊顶形式、吊杆规格、高度:8吊杆
3.龙骨材料种类、规格、中距:U型轻钢主龙骨CB50X20,中距≤1200;U型轻钢次龙骨CB50X20中距429（顶航）
4.面层材料品种、规格:双层9.5mm防水石膏板（泰山）
5.其他:详见I-W-DT001-02
[工作内容]
1.基层清理、吊杆安装
2.龙骨安装
3.面层铺贴
4.嵌缝</t>
  </si>
  <si>
    <t>600*600矿棉板吊顶-叠级</t>
  </si>
  <si>
    <t>[项目特征]
1.龙骨材料种类、规格、中距:T型轻钢龙骨TB24X38（优喆星）,中距:横向≤1200,纵向600；T型轻钢龙骨横撑TB24X28,中距600
2.面层材料品种、规格:600*600*16阿姆斯壮矿棉板（毛毛虫花色）
[工作内容]
1.基层清理、吊杆安装
2.龙骨安装
3.面层铺贴
4.嵌缝</t>
  </si>
  <si>
    <t>600*600矿棉板吊顶-平级</t>
  </si>
  <si>
    <t>[项目特征]
1.龙骨材料种类、规格、中距:T型轻钢龙骨TB24X38（优喆星）,中距:横向≤1200,纵向600；T型轻钢龙骨横撑TB24X28,中距600
2.面层材料品种、规格:600*600*16阿姆斯壮矿棉板（毛毛虫花色）
[工作内容]
[工作内容]
[工作内容]
[工作内容]
1.基层清理、吊杆安装
2.龙骨安装
3.面层铺贴
4.嵌缝</t>
  </si>
  <si>
    <t>600x600铝扣板吊顶-平级</t>
  </si>
  <si>
    <t>[项目特征]
1.吊顶形式、吊杆规格、高度:8吊杆
2.龙骨材料种类、规格、中距:U型轻钢主龙骨CB50X20,中距≤1200;U型轻钢次龙骨CB50X20中距400（顶航）
3.面层材料品种、规格:600x600铝扣板（世鹏）
4.压条材料种类、规格:满足设计及规范要求
5.其他:详见I-W-DT01-04
[工作内容]
1.基层清理、吊杆安装
2.龙骨安装
3.面层铺贴
4.嵌缝</t>
  </si>
  <si>
    <t>金属格栅吊顶-平级</t>
  </si>
  <si>
    <t>[项目特征]
1.吊顶形式、吊杆规格、高度:10号镀锌低碳钢丝(或8钢筋)吊杆,双向中距≤1200,吊杆上部与板底预留吊环(勾)固定
2.龙骨材料种类、规格、中距:U型轻钢主龙骨CB50X20,中距≤1200; U型轻钢龙骨横撑CB50X20中距1200,U型轻钢次龙骨CB50X20中距429;（顶航）
3.面层材料品种、规格:120*20*2金属铝格栅（欧雅利）
4.其他:详见I-W-DT10-41
[工作内容]
1.基层清理、吊杆安装
2.龙骨安装
3.面层铺贴
4.嵌缝</t>
  </si>
  <si>
    <t>一层多功能厅吊顶-叠级、斜面</t>
  </si>
  <si>
    <t>[项目特征]
1.转换层材料种类、规格、中距:L40镀锌角钢钢架，6mm厚150mm宽钢板
2.吊顶形式、吊杆规格、高度:8吊杆
3.龙骨材料种类、规格、中距:U型轻钢主龙骨CB50X20,中距≤1200;U型轻钢次龙骨CB50X20中距400（顶航）
4.基层材料种类、规格:15mm阻燃板（恒隆安）
5.面层材料品种、规格:双层9.5mm石膏板（泰山盾牌）
6.其他:详见I-W-DT11-46
[工作内容]
1.基层清理、吊杆安装
2.龙骨安装
3.基层板铺贴
4.面层铺贴
5.嵌缝
6.刷防护材料</t>
  </si>
  <si>
    <t>四层会议室吊顶-叠级、弧形</t>
  </si>
  <si>
    <t>[项目特征]
1.吊顶形式、吊杆规格、高度:8吊杆
2.龙骨材料种类、规格、中距:U型轻钢主龙骨CB50X20,中距≤1200;U型轻钢次龙骨CB50X20中距400（顶航）
3.基层材料种类、规格:15mm阻燃板（恒隆安）
4.面层材料品种、规格:9.5mm石膏板（泰山盾牌），5mm厚亚克力板
5.压条材料种类、规格:石膏线条，定制石膏线条
6.其他:详见I-W-DT10-42
[工作内容]
1.基层清理、吊杆安装
2.龙骨安装
3.基层板铺贴
4.面层铺贴
5.嵌缝
6.刷防护材料</t>
  </si>
  <si>
    <t>石膏板吊顶-裸顶边吊</t>
  </si>
  <si>
    <t>[项目特征]
1.吊顶形式、吊杆规格、高度:8吊杆
2.龙骨材料种类、规格、中距:U型轻钢主龙骨CB50X20,中距≤1200;U型轻钢次龙骨CB50X2
3.侧面材料种类、规格、中距:20*40镀锌方钢，15mm阻燃板（恒隆安），9.5mm防火石膏板
4.面层材料品种、规格:9.5mm防潮石膏板（泰山）
5.防护材料种类:详见I-W-DT08-31
[工作内容]
1.基层清理、吊杆安装
2.龙骨安装
3.基层板铺贴
4.面层铺贴
5.嵌缝</t>
  </si>
  <si>
    <t>40热镀锌角钢转换层</t>
  </si>
  <si>
    <t>[项目特征]
1.转换层材料种类、规格、中距:40热镀锌角钢；40热镀锌方钢
2.其他:详见I-W-DT10-45
[工作内容]
1.基层清理
2.龙骨安装</t>
  </si>
  <si>
    <t>t</t>
  </si>
  <si>
    <t>检修口</t>
  </si>
  <si>
    <r>
      <t>[项目特征]
1.检修口尺寸:450*450mm
2.基层材料品种、规格:15厚阻燃板（恒隆安），不锈钢线条
3.面层材料品种、规格:双层</t>
    </r>
    <r>
      <rPr>
        <b/>
        <sz val="9"/>
        <rFont val="宋体"/>
        <charset val="134"/>
      </rPr>
      <t>9.5mm石膏板（泰山盾牌）</t>
    </r>
    <r>
      <rPr>
        <sz val="9"/>
        <rFont val="宋体"/>
        <charset val="134"/>
      </rPr>
      <t xml:space="preserve">
4.其他:详见I-W-DT001-05
[工作内容]
1.开检修口
2.制作、安装、固定</t>
    </r>
  </si>
  <si>
    <t>个</t>
  </si>
  <si>
    <t>直线型灯带-100</t>
  </si>
  <si>
    <t>[项目特征]
1.灯带型式、尺寸:50宽，100高
2.面层材料品种、规格:9.5mm石膏板（泰山盾牌）
3.其他:详见I-W-DT09-35
[工作内容]
1.制作、安装、固定</t>
  </si>
  <si>
    <t>直线型灯带-180</t>
  </si>
  <si>
    <t>[项目特征]
1.灯带型式、尺寸:150宽，180高
2.面层材料品种、规格:9.5mm石膏板（泰山盾牌）
3.其他:详见I-W-DT14-56
[工作内容]
1.制作、安装、固定</t>
  </si>
  <si>
    <t>直线型灯带-200</t>
  </si>
  <si>
    <t>[项目特征]
1.灯带型式、尺寸:100宽，200高
2.面层材料品种、规格:9.5mm石膏板（泰山盾牌）
3.其他:详见I-W-DT09-46
[工作内容]
1.制作、安装、固定</t>
  </si>
  <si>
    <t>直线型灯带-230</t>
  </si>
  <si>
    <t>[项目特征]
1.灯带型式、尺寸:100宽，230高
2.面层材料品种、规格:9.5mm石膏板（泰山盾牌）
3.其他:详见I-W-DT09-36
[工作内容]
1.制作、安装、固定</t>
  </si>
  <si>
    <t>直线型灯带-250</t>
  </si>
  <si>
    <t>[项目特征]
1.灯带型式、尺寸:100宽，250高
2.面层材料品种、规格:9.5mm石膏板（泰山盾牌）
3.其他:详见I-W-DT09-38，I-W-DT10-44
[工作内容]
1.制作、安装、固定</t>
  </si>
  <si>
    <t>直线型灯带-300</t>
  </si>
  <si>
    <t>[项目特征]
1.灯带型式、尺寸:150宽，300高
2.面层材料品种、规格:9.5mm石膏板（泰山盾牌）
3.其他:详见I-W-DT14-57
[工作内容]
1.制作、安装、固定</t>
  </si>
  <si>
    <t>挡烟垂壁黑色不锈钢收口条</t>
  </si>
  <si>
    <t>[项目特征]
1.线条材料品种、规格、颜色:黑色发纹不锈钢收口条
2.其他:详见I-W-DT11-47~48
[工作内容]
1.线条制作、安装</t>
  </si>
  <si>
    <t>50*5黑色发纹不锈钢线条</t>
  </si>
  <si>
    <t>[项目特征]
1.线条材料品种、规格、颜色:50*5黑色发纹不锈钢线条
2.其他:详见I-W-DT14-56
[工作内容]
1.线条制作、安装</t>
  </si>
  <si>
    <t>10*10U形槽不锈钢线条</t>
  </si>
  <si>
    <t>[项目特征]
1.线条材料品种、规格、颜色:10*10U形槽不锈钢线条
2.其他:详见I-W-DT14-56，详见详见I-W-DT10-43，I-W-DT15-59
[工作内容]
1.线条制作、安装</t>
  </si>
  <si>
    <t>白色铝板(卷帘底板)</t>
  </si>
  <si>
    <t>[项目特征]
1.龙骨材料种类、规格、中距:L40镀锌角钢
2.面层材料品种、规格:白色铝板(拓普或者西亚），含专用龙骨
3.其他:详见I-W-DT07-31
[工作内容]
1.基层清理、吊杆安装
2.龙骨安装
3.面层铺贴
4.嵌缝</t>
  </si>
  <si>
    <t>开矩形灯孔</t>
  </si>
  <si>
    <t>[项目特征]
1.灯孔尺寸:综合考虑
[工作内容]
1.开灯孔</t>
  </si>
  <si>
    <t>开筒灯孔</t>
  </si>
  <si>
    <t>油漆、涂料、裱糊工程</t>
  </si>
  <si>
    <t>顶面无机防霉涂料</t>
  </si>
  <si>
    <t>[项目特征]
1.基层类型:综合考虑
2.刮腻子遍数:满刮2厚面层耐水腻子（百世德）
3.油漆品种、刷漆遍数:无机防霉涂料底漆1遍,面漆3遍
4.部位:天棚
[工作内容]
1.基层清理
2.刮腻子
3.刷防护材料、油漆</t>
  </si>
  <si>
    <t>顶面裸顶无机防霉涂料</t>
  </si>
  <si>
    <t>顶面防水无机防霉涂料</t>
  </si>
  <si>
    <t>[项目特征]
1.基层类型:综合考虑
2.刮腻子遍数:满刮2厚面层耐水腻子（百世德）
3.油漆品种、刷漆遍数:无机防霉涂料底漆1遍,面漆2遍
4.部位:天棚
[工作内容]
1.基层清理
2.刮腻子
3.刷防护材料、油漆</t>
  </si>
  <si>
    <t>墙面无机防霉涂料</t>
  </si>
  <si>
    <t>[项目特征]
1.基层类型:综合考虑
2.刮腻子遍数:满刮2厚面层耐水腻子（百世德）
3.油漆品种、刷漆遍数:无机防霉涂料底漆1遍,面漆3遍
4.部位:墙面
[工作内容]
1.基层清理
2.刮腻子
3.刷防护材料、油漆</t>
  </si>
  <si>
    <t>柱面无机防霉涂料</t>
  </si>
  <si>
    <t>[项目特征]
1.基层类型:综合考虑
2.刮腻子遍数:满刮2厚面层耐水腻子（百世德）
3.油漆品种、刷漆遍数:无机防霉涂料底漆1遍,面漆3遍
4.部位:柱面
[工作内容]
1.基层清理
2.刮腻子
3.刷防护材料、油漆</t>
  </si>
  <si>
    <t>顶面无机防霉涂料（管井）</t>
  </si>
  <si>
    <t>[项目特征]
1.基层类型:综合考虑
2.刮腻子遍数:满刮2厚面层耐水腻子（百世德）
3.油漆品种、刷漆遍数:无机防霉涂料2遍
4.部位:天棚
[工作内容]
1.基层清理
2.刮腻子
3.刷防护材料、油漆</t>
  </si>
  <si>
    <t>墙面无机防霉涂料（管井）</t>
  </si>
  <si>
    <t>[项目特征]
1.基层类型:综合考虑
2.刮腻子遍数:满刮2厚面层耐水腻子（百世德）
3.油漆品种、刷漆遍数:无机防霉涂料2遍
4.部位:墙面
[工作内容]
1.基层清理
2.刮腻子
3.刷防护材料、油漆</t>
  </si>
  <si>
    <t>CB-01壁布</t>
  </si>
  <si>
    <t>[项目特征]
1.腻子种类:满刮2厚面层耐水腻子（百世德）
2.防护材料种类:满足设计及规范要求
3.面层材料品种、规格、颜色:CB-01壁布
[工作内容]
1.基层清理
2.刮腻子
3.面层铺粘
4.刷防护材料</t>
  </si>
  <si>
    <t>其他装饰工程</t>
  </si>
  <si>
    <t>黑色发纹不锈钢线条</t>
  </si>
  <si>
    <t>[项目特征]
1.线条材料品种、规格、颜色:黑色发纹不锈钢线条
2.其他:详见I-W-DT04-23~24
[工作内容]
1.线条制作、安装</t>
  </si>
  <si>
    <t>卫生间爵士白洗漱台</t>
  </si>
  <si>
    <t>[项目特征]
1.龙骨材料种类、规格、中距:∠30*30mm镀锌角钢
2.基层材料种类:15mm厚阻燃板（恒隆安）
3.面层材料品种、规格、颜色:20mm厚进口爵士白大理石（综合考虑六面防护、酸洗、打蜡、背面挂网、磨边、开孔）
4.其他:详见I-W-DT14-55
[工作内容]
1.台面及支架运输、安装</t>
  </si>
  <si>
    <t>镜面玻璃</t>
  </si>
  <si>
    <t>[项目特征]
1.镜面玻璃品种、规格:5mm银镜（台镜）
2.龙骨材料种类、规格、中距:∠30*30mm镀锌角钢
3.框材质、断面尺寸:1.2mm厚黑色发纹不锈钢
4.基层材料种类:15mm厚阻燃板（恒隆安）
5.其他:详见I-W-DT14-55
[工作内容]
1.基层安装
2.玻璃及框制作、运输、安装</t>
  </si>
  <si>
    <t>实验室爵士白台盆</t>
  </si>
  <si>
    <t>[项目特征]
1.龙骨材料种类、规格、中距:40*40镀锌角钢
2.基层材料种类:15mm厚阻燃板（恒隆安）
3.面层材料品种、规格、颜色:20mm厚进口爵士白大理石（综合考虑六面防护、酸洗、打蜡、背面挂网、磨边、开孔）
4.支架、配件品种、规格:40*40发纹拉丝不锈钢管，20*40发纹拉丝不锈钢管
5.其他:详见I-W-DT15-61~62
[工作内容]
1.台面及支架运输、安装</t>
  </si>
  <si>
    <t>卫生间靠墙扶手</t>
  </si>
  <si>
    <t>[项目特征]
1.材料品种、规格、颜色:304不锈钢亮光，355*60*80mm（四维SD1801 ST）
[工作内容]
1.扶手运输、安装</t>
  </si>
  <si>
    <t>卫生间马桶扶手</t>
  </si>
  <si>
    <t>[项目特征]
1.材料品种、规格、颜色:304不锈钢亮光，406*60*80mm（四维SD1802 ST）
[工作内容]
1.扶手运输、安装</t>
  </si>
  <si>
    <t>钢化夹胶玻璃栏板</t>
  </si>
  <si>
    <t>[项目特征]
1.栏杆玻璃的种类、规格、颜色:超白钢化夹胶玻璃(信义）
2.扶手的种类、规格、颜色:黑色发纹不锈钢扶手
3.固定方式:满足设计及规范要求
4.固定配件种类:6mm厚不锈钢槽，12mm厚镀锌钢板
5.其他:详见I-W-DT14-56
[工作内容]
1.制作
2.运输
3.安装
4.刷防护材料</t>
  </si>
  <si>
    <t>厨房明档</t>
  </si>
  <si>
    <t>[项目特征]
1.台柜规格:下柜450宽，800高
2.龙骨材料种类、规格、中距:30*30镀锌方钢
3.基层材料种类、规格:15mm厚阻燃板（恒隆安），10厚硅酸钙板（金俞）（金俞）
4.面层材料种类、规格:黑色发纹不锈钢，成品木饰面，木线条，10mm超白钢化玻璃（信义），白色人造石，发纹不锈钢线条
5.五金种类、规格:满足设计及规范要求
6.其他:详见I-W-DT24
[工作内容]
1.台柜制作、运输、安装(安放)
2.刷防护材料、油漆
3.五金件安装</t>
  </si>
  <si>
    <t>楼梯间铁艺木扶手</t>
  </si>
  <si>
    <t>[项目特征]
1.栏杆玻璃的种类、规格、颜色:铁艺
2.扶手的种类、规格、颜色:木扶手
3.固定方式:满足设计及规范要求
4.固定配件种类:满足设计及规范要求
5.其他:详见西南18J412-48-5
[工作内容]
1.制作
2.运输
3.安装
4.刷防护材料</t>
  </si>
  <si>
    <t>二</t>
  </si>
  <si>
    <t>B区（装饰工程）</t>
  </si>
  <si>
    <t>[项目特征]
1.门框或扇外围尺寸:综合考虑
2.框、扇材质:300*600瓷砖（博宝W6），9.5mm防火石膏板（泰山盾牌），30*30热镀锌方钢
3.五金品种、规格:门挡，热镀锌干挂件，暗门门轴等
4.其他:详见I-W-DT13
[工作内容]
1.门安装
2.五金安装</t>
  </si>
  <si>
    <t>20~25mm厚DS干拌砂浆（水泥：红狮325M）找平层</t>
  </si>
  <si>
    <t>25~35mm厚DS干拌砂浆（水泥：红狮325M）找平层</t>
  </si>
  <si>
    <t>[项目特征]
1.部位:管井地面
2.面层厚度、砂浆配合比:20mm厚1：3水泥砂浆
[工作内容]
1.基层清理
2.抹找平层
3.材料运输</t>
  </si>
  <si>
    <t>[项目特征]
1.面层厚度、砂浆配合比:水水泥地面-CB-03
[工作内容]
1.基层清理
2.抹找平层
3.材料运输</t>
  </si>
  <si>
    <t>[项目特征]
1.墙体类型:卫生间钢架隔墙
2.面层厚度、砂浆配合比:15mm厚1:2挂网水泥砂浆抹灰
3.其他:详见I-W-DT02-09
[工作内容]
1.基层清理
2.砂浆制作、运输
3.抹面层</t>
  </si>
  <si>
    <t>[项目特征]
1.墙体类型:综合考虑
2.安装方式:高强度薄胶泥粘接层
3.面层材料品种、规格、颜色:300*600瓷砖（博宝W6）
4.缝宽、嵌缝材料种类:DTG砂浆勾缝
5.其他:详见I-W-DT02-12，I-W-DT03-18
[工作内容]
1.基层清理
2.粘结层铺贴
3.面层安装
4.嵌缝</t>
  </si>
  <si>
    <t>[项目特征]
1.吊顶形式、吊杆规格、高度:8吊杆
2.龙骨材料种类、规格、中距:U型轻钢主龙骨CB50X20,中距≤1200;U型轻钢次龙骨CB50X20中距429（顶航） （顶航）
3.面层材料品种、规格:双层9.5mm石膏板（泰山盾牌）
4.其他:详见I-W-DT001-01，I-W-DT005-28
[工作内容]
1.基层清理、吊杆安装
2.龙骨安装
3.面层铺贴</t>
  </si>
  <si>
    <t>[项目特征]
1.龙骨材料种类、规格、中距:T型轻钢龙骨TB24X38（优喆星）,中距:横向≤1200,纵向600；T型轻钢龙骨横撑TB24X28,中距600
2.面层材料品种、规格:600*600*16阿姆斯壮矿棉板（毛毛虫花色）
[工作内容]
[工作内容]
1.基层清理、吊杆安装
2.龙骨安装
3.面层铺贴
4.嵌缝</t>
  </si>
  <si>
    <t>[项目特征]
1.龙骨材料种类、规格、中距:T型轻钢龙骨TB24X38（优喆星）,中距:横向≤1200,纵向600；T型轻钢龙骨横撑TB24X28,中距600
2.面层材料品种、规格:600*600*16阿姆斯壮矿棉板（毛毛虫花色）
[工作内容]
3.其他:详见I-W-DT01-03
[工作内容]
1.基层清理、吊杆安装
2.龙骨安装
3.面层铺贴
4.嵌缝</t>
  </si>
  <si>
    <t>[项目特征]
1.吊顶形式、吊杆规格、高度:8吊杆
2.龙骨材料种类、规格、中距:U型轻钢主龙骨CB50X20,中距≤1200;U型轻钢次龙骨CB50X20中距429（顶航） （顶航）
3.侧面材料种类、规格、中距:20*40镀锌方钢，15mm阻燃板（恒隆安），9.5mm防火石膏板
4.面层材料品种、规格:9.5mm防潮石膏板（泰山）
5.防护材料种类:详见I-W-DT08-31
[工作内容]
1.基层清理、吊杆安装
2.龙骨安装
3.基层板铺贴
4.面层铺贴
5.嵌缝</t>
  </si>
  <si>
    <t>[项目特征]
1.基层类型:综合考虑
2.刮腻子遍数:满刮2厚面层耐水腻子（百世德）（百世德）
3.油漆品种、刷漆遍数:无机防霉涂料底漆1遍,面漆3遍
4.部位:天棚
[工作内容]
1.基层清理
2.刮腻子
3.刷防护材料、油漆</t>
  </si>
  <si>
    <t>墙面乳无机防霉涂料</t>
  </si>
  <si>
    <t>三</t>
  </si>
  <si>
    <t>车库</t>
  </si>
  <si>
    <t>3.0mm防滑坡道区</t>
  </si>
  <si>
    <t>[项目特征]
1.找平层砂浆配合比、厚度:自流平层
2.底层漆材料种类、厚度:环氧树脂自流平封闭底漆一遍
3.中层漆材料种类、厚度:环氧树脂自流平砂浆中涂二遍，环氧树脂自流平腻子中涂一遍,20~40目石英砂
4.面漆材料种类、厚度:环氧树脂自流平封闭面漆
[工作内容]
1.基层处理
2.涂底层漆
3.涂刷中层漆
4.打磨、吸尘
5.镘自流平面漆(浆)
6.拌合自流平浆料
7.铺面层</t>
  </si>
  <si>
    <t>车库顶面防水乳胶漆</t>
  </si>
  <si>
    <t>[项目特征]
1.刮腻子遍数:防水腻子2遍
2.油漆品种、刷漆遍数:防水乳胶漆3遍
3.部位:天棚
[工作内容]
1.基层清理
2.刮腻子
3.刷防护材料、油漆</t>
  </si>
  <si>
    <t>墙面分色带乳胶漆</t>
  </si>
  <si>
    <t>柱面乳胶漆</t>
  </si>
  <si>
    <t>四</t>
  </si>
  <si>
    <t>A区（电气工程）</t>
  </si>
  <si>
    <t>R1嵌入式射灯</t>
  </si>
  <si>
    <t>[项目特征]
1.名称:邦桥BQ-SC-08
2.型号:详设计
[工作内容]
1.本体安装</t>
  </si>
  <si>
    <t>套</t>
  </si>
  <si>
    <t>R2嵌入式筒灯</t>
  </si>
  <si>
    <t>[项目特征]
1.名称:邦桥BQ-TD-30
2.型号:详设计
[工作内容]
1.本体安装</t>
  </si>
  <si>
    <t>R3嵌入式筒灯</t>
  </si>
  <si>
    <t>[项目特征]
1.名称:邦桥BQ-TD-08
2.型号:详设计
[工作内容]
1.本体安装</t>
  </si>
  <si>
    <t>R5嵌入式双头筒灯</t>
  </si>
  <si>
    <t>项目特征]
1.名称:邦桥BQ-SD-220
2.型号:详设计
[工作内容]
1.本体安装</t>
  </si>
  <si>
    <t>R7嵌入式筒灯</t>
  </si>
  <si>
    <t>项目特征]
1.名称:邦桥BQ-TD-15
2.型号:详设计
[工作内容]
1.本体安装</t>
  </si>
  <si>
    <t>R8嵌入式双头筒灯</t>
  </si>
  <si>
    <t>项目特征]
1.名称:邦桥BQ-SD-29
2.型号:详设计
[工作内容]
1.本体安装</t>
  </si>
  <si>
    <t>R9线性灯</t>
  </si>
  <si>
    <t>项目特征]
1.名称:邦桥BQ-XT-30
2.型号:详设计
[工作内容]
1.本体安装</t>
  </si>
  <si>
    <t>R12防爆格栅灯盘</t>
  </si>
  <si>
    <t>项目特征]
1.名称:邦桥BQ-FT-8120
2.型号:详设计
[工作内容]
1.本体安装</t>
  </si>
  <si>
    <t>平板灯（加工区 洗碗间）</t>
  </si>
  <si>
    <t>项目特征]
1.名称:邦桥BQ-PB-0606
2.型号:详设计
[工作内容]
1.本体安装</t>
  </si>
  <si>
    <t>R14 LED暗藏灯带</t>
  </si>
  <si>
    <t>项目特征]
1.名称:邦桥BQ-DD-2835
2.型号:详设计
[工作内容]
1.本体安装</t>
  </si>
  <si>
    <t>R15 吸顶灯</t>
  </si>
  <si>
    <t>项目特征]
1.名称:邦桥BQ-XD-35
2.型号:详设计
[工作内容]
1.本体安装</t>
  </si>
  <si>
    <t>R16线性灯</t>
  </si>
  <si>
    <t>R17吊装面板灯</t>
  </si>
  <si>
    <t>项目特征]
1.名称:邦桥BQ-PB-061254
2.型号:详设计
[工作内容]
1.本体安装</t>
  </si>
  <si>
    <t>R18 吊装面板灯</t>
  </si>
  <si>
    <t>项目特征]
1.名称:邦桥BQ-PB-031240
2.型号:详设计
[工作内容]
1.本体安装</t>
  </si>
  <si>
    <t xml:space="preserve">大吊灯  </t>
  </si>
  <si>
    <t>项目特征]
1.名称:大吊灯  
2.型号:详设计
[工作内容]
2.本体安装</t>
  </si>
  <si>
    <t xml:space="preserve">灯具 </t>
  </si>
  <si>
    <t>项目特征]
1.名称:灯具 
2.型号:详设计
[工作内容]
3.本体安装</t>
  </si>
  <si>
    <t>单控单联照明暗开关</t>
  </si>
  <si>
    <t>[项目特征]
1.品牌：西门子致尚
2.规格:详设计
[工作内容]
1.本体安装
2.接线</t>
  </si>
  <si>
    <t>单控双联照明暗开关</t>
  </si>
  <si>
    <t>单控三联照明暗开关</t>
  </si>
  <si>
    <t>单控四联照明暗开关</t>
  </si>
  <si>
    <t>双控三联照明暗开关</t>
  </si>
  <si>
    <t>双控双联照明暗开关</t>
  </si>
  <si>
    <t>双控单联照明暗开关</t>
  </si>
  <si>
    <t>声光控开关</t>
  </si>
  <si>
    <t>单相三孔连二孔暗插座</t>
  </si>
  <si>
    <t>单相三孔连二孔地面暗插座</t>
  </si>
  <si>
    <t>单相三孔连二孔防溅暗插座</t>
  </si>
  <si>
    <t>AP插座</t>
  </si>
  <si>
    <t>开关插座盒</t>
  </si>
  <si>
    <t>项目特征]
1.名称:接线盒
2.品牌:华朔
3.规格:满足设计及规范要求
4.安装形式:满足设计及规范要求</t>
  </si>
  <si>
    <t>灯具接线盒</t>
  </si>
  <si>
    <t>排风扇</t>
  </si>
  <si>
    <t>[项目特征]
1.名称:排风扇
2.品牌：欧野
[工作内容]
1.本体安装</t>
  </si>
  <si>
    <t>台</t>
  </si>
  <si>
    <t>LEB局部等电位端子箱</t>
  </si>
  <si>
    <t>[项目特征]
1.名称:LEB端子箱
2.品牌：苏民电气TD28
[工作内容]
1.本体安装</t>
  </si>
  <si>
    <t>配管JDG20</t>
  </si>
  <si>
    <t>[项目特征]
1.品牌：华朔
1.材质:JDG管
2.规格:20
3.敷设方式:沿墙、沿顶
[工作内容]
1.电线管路敷设
2.砖墙开沟槽
3.接地</t>
  </si>
  <si>
    <t>配管JDG25</t>
  </si>
  <si>
    <t>[项目特征]
1.品牌：华朔
1.材质:JDG管
2.规格:25
3.敷设方式:沿墙、沿顶
[工作内容]
1.电线管路敷设
2.砖墙开沟槽
3.接地</t>
  </si>
  <si>
    <t>配管JDG32</t>
  </si>
  <si>
    <t>[项目特征]
1.品牌：华朔
1.材质:JDG管
2.规格:32
3.敷设方式:沿墙、沿顶
[工作内容]
1.电线管路敷设
2.砖墙开沟槽
3.接地</t>
  </si>
  <si>
    <t>配管SC20</t>
  </si>
  <si>
    <t>[项目特征]
1.品牌：华朔
1.材质:SC管
2.规格:20
3.敷设方式:沿墙、沿顶
[工作内容]
1.电线管路敷设
2.砖墙开沟槽
3.接地</t>
  </si>
  <si>
    <t>配管SC32</t>
  </si>
  <si>
    <t>[项目特征]
1.品牌：华朔
1.材质:SC管
2.规格:32
3.敷设方式:沿墙、沿顶
[工作内容]
1.电线管路敷设
2.砖墙开沟槽
3.接地</t>
  </si>
  <si>
    <t>管内配线WDZC-BYJ-4</t>
  </si>
  <si>
    <t>[项目特征]
1.品牌：鸽皇
1.配线形式:配线
2.型号:WDZC-BYJ-4mm2
[工作内容]
1.配线</t>
  </si>
  <si>
    <t>线槽配线WDZC-BYJ-4</t>
  </si>
  <si>
    <t>管内配线WDZC-BYJ-2.5</t>
  </si>
  <si>
    <t>[项目特征]
1.品牌：鸽皇
1.配线形式:配线
2.型号:WDZC-BYJ-2.5mm2
[工作内容]
2.配线</t>
  </si>
  <si>
    <t>线槽配线WDZC-BYJ-2.5</t>
  </si>
  <si>
    <t>[项目特征]
1.品牌：鸽皇
1.配线形式:配线
2.型号:WDZC-BYJ-2.5mm2
[工作内容]
3.配线</t>
  </si>
  <si>
    <t>管内配线WDZB-BYJ-2.5</t>
  </si>
  <si>
    <t>[项目特征]
1.品牌：鸽皇
1.配线形式:配线
2.型号:WDZB-BYJ-2.5mm2
[工作内容]
4.配线</t>
  </si>
  <si>
    <t>管内配线WDZ-BYJ-2.5</t>
  </si>
  <si>
    <t>[项目特征]
1.品牌：鸽皇
1.配线形式:配线
2.型号:WDZ-BYJ-2.5mm2
[工作内容]
5.配线</t>
  </si>
  <si>
    <t>管内配线WDZ-BYJ-4</t>
  </si>
  <si>
    <t>[项目特征]
1.品牌：鸽皇
1.配线形式:配线
2.型号:WDZ-BYJ-4mm2
[工作内容]
5.配线</t>
  </si>
  <si>
    <t>剔槽</t>
  </si>
  <si>
    <t>五</t>
  </si>
  <si>
    <t>B区（电气工程）</t>
  </si>
  <si>
    <t>项目特征]
1.名称:接线盒
2.品牌:华朔
3.规格:满足设计及规范要求
5.安装形式:满足设计及规范要求</t>
  </si>
  <si>
    <t>六</t>
  </si>
  <si>
    <t>A区给排水</t>
  </si>
  <si>
    <t>PPR给水管DN15</t>
  </si>
  <si>
    <t>[项目特征]
1.材质、规格:PPR给水管DN15
2.品牌：雄塑
[工作内容]
1.管道安装
2.管件安装
3.压力试验
4.吹扫、冲洗</t>
  </si>
  <si>
    <t>PPR给水管DN20</t>
  </si>
  <si>
    <t>[项目特征]
1.材质、规格:PPR给水管DN20
2.品牌：雄塑
[工作内容]
1.管道安装
2.管件安装
3.压力试验
4.吹扫、冲洗</t>
  </si>
  <si>
    <t>PPR给水管DN25</t>
  </si>
  <si>
    <t>[项目特征]
1.材质、规格:PPR给水管DN25
2.品牌：雄塑
[工作内容]
1.管道安装
2.管件安装
3.压力试验
5.吹扫、冲洗</t>
  </si>
  <si>
    <t>PPR给水管DN40</t>
  </si>
  <si>
    <t>[项目特征]
1.材质、规格:PPR给水管DN40
2.品牌：雄塑
[工作内容]
1.管道安装
2.管件安装
3.压力试验
7.吹扫、冲洗</t>
  </si>
  <si>
    <t>PPR给水管DN50</t>
  </si>
  <si>
    <t>[项目特征]
1.材质、规格:PPR给水管DN50
2.品牌：雄塑
[工作内容]
1.管道安装
2.管件安装
3.压力试验
8.吹扫、冲洗</t>
  </si>
  <si>
    <t>PP热水管DN15</t>
  </si>
  <si>
    <t>[项目特征]
1.材质、规格:PP热水管DN15
2.品牌：雄塑
[工作内容]
1.管道安装
2.管件安装
3.压力试验
9.吹扫、冲洗</t>
  </si>
  <si>
    <t>PP热水管DN20</t>
  </si>
  <si>
    <t>[项目特征]
1.材质、规格:PP热水管DN20
2.品牌：雄塑
[工作内容]
1.管道安装
2.管件安装
3.压力试验
10.吹扫、冲洗</t>
  </si>
  <si>
    <t>PVC排水管DN50</t>
  </si>
  <si>
    <t>[项目特征]
1.安装部位:室内
2.品牌:雄塑
3.材质、规格:PVC排水管DN50
4.连接形式:承插粘接
5.压力试验及吹、洗设计要求:满足设计及规范要求</t>
  </si>
  <si>
    <t>PVC排水管DN75</t>
  </si>
  <si>
    <t>[项目特征]
1.安装部位:室内
2.品牌:雄塑
3.材质、规格:PVC排水管DN75
4.连接形式:承插粘接
5.压力试验及吹、洗设计要求:满足设计及规范要求</t>
  </si>
  <si>
    <t>PVC排水管DN100</t>
  </si>
  <si>
    <t>[项目特征]
1.安装部位:室内
2.品牌:雄塑
3.材质、规格:PVC排水管DN100
4.连接形式:承插粘接
6.压力试验及吹、洗设计要求:满足设计及规范要求</t>
  </si>
  <si>
    <t>截止阀DN20</t>
  </si>
  <si>
    <t>[项目特征]
1.材质:截止阀DN20
2.品牌：雄塑
[工作内容]
1.安装
2.调试</t>
  </si>
  <si>
    <t>截止阀DN50</t>
  </si>
  <si>
    <t>[项目特征]
1.材质:截止阀DN50
2.品牌：雄塑
[工作内容]
1.安装
2.调试</t>
  </si>
  <si>
    <t>不锈钢地漏DN50</t>
  </si>
  <si>
    <t>[项目特征]
1.名称:不锈钢地漏DN50
2.品牌、材质：九牧9210
3.型号、规格:DN50
4.安装方式:满足设计及规范要求</t>
  </si>
  <si>
    <t>不锈钢地漏DN75</t>
  </si>
  <si>
    <t>[项目特征]
1.名称:不锈钢地漏DN75
2.品牌、材质：九牧9210
3.型号、规格:DN75
4.安装方式:满足设计及规范要求</t>
  </si>
  <si>
    <t>清扫口DN100</t>
  </si>
  <si>
    <t>[项目特征]
1.品牌：雄塑
2.型号、规格:DN100
3.安装方式:满足设计及规范要求</t>
  </si>
  <si>
    <t>洗脸盆</t>
  </si>
  <si>
    <t>[项目特征]
1.规格、类型:洗脸盆四维SC9802,龙头四维SF02114CP,弹跳去水SD1502CP,下水软管Q824,高压管SD1605CP
[工作内容]
1.器具安装
2.附件安装</t>
  </si>
  <si>
    <t>组</t>
  </si>
  <si>
    <t>洗脸盆（壁挂式）</t>
  </si>
  <si>
    <t>[项目特征]
1.规格、类型:洗脸盆四维SC7003,龙头四维SF02114CP,弹跳去水SD1502CP,下水软管Q824,高压管SD1605CP
[工作内容]
1.器具安装
2.附件安装</t>
  </si>
  <si>
    <t>感应式小便器</t>
  </si>
  <si>
    <t>[项目特征]
1.规格、类型:小便器四维SC5005,感应器SD204-AC
[工作内容]
1.器具安装
2.附件安装</t>
  </si>
  <si>
    <t>蹲便器</t>
  </si>
  <si>
    <t>[项目特征]
1.规格、类型:蹲便器四维SC6022Q,脚踏阀四维SD2210CP,高压管SD1605CP
[工作内容]
1.器具安装
2.附件安装</t>
  </si>
  <si>
    <t>10L厨宝</t>
  </si>
  <si>
    <t>[项目特征]
1.规格、类型:海尔ES10U
[工作内容]
1.器具安装
2.附件安装</t>
  </si>
  <si>
    <t>5L厨宝</t>
  </si>
  <si>
    <t>[项目特征]
1.规格、类型:海尔EC5U
[工作内容]
1.器具安装
2.附件安装</t>
  </si>
  <si>
    <t>拖帕池</t>
  </si>
  <si>
    <t>[项目特征]
1.规格、类型:拖帕池四维SC8001,龙头SD1402CP
[工作内容]
1.器具安装
2.附件安装</t>
  </si>
  <si>
    <t>坐便器</t>
  </si>
  <si>
    <t>[项目特征]
1.规格、类型:坐便器四维SC2003A,高压管SD1605CP
[工作内容]
1.器具安装
2.附件安装</t>
  </si>
  <si>
    <t>七</t>
  </si>
  <si>
    <t>B区给排水</t>
  </si>
  <si>
    <t>八</t>
  </si>
  <si>
    <t>厨房电气</t>
  </si>
  <si>
    <t>[项目特征]
1.名称:单控单联照明暗开关
2.规格:详设计
[工作内容]
1.本体安装
2.接线</t>
  </si>
  <si>
    <t>防溅型单相三孔连二孔暗插座</t>
  </si>
  <si>
    <t>[项目特征]
1.名称:防溅型单相三孔连二孔暗插座
2.规格:详设计
[工作内容]
1.本体安装
2.接线</t>
  </si>
  <si>
    <t>防溅型单相三孔暗插座</t>
  </si>
  <si>
    <t>[项目特征]
1.名称:防溅型单相三孔暗插座
2.规格:详设计
[工作内容]
1.本体安装
2.接线</t>
  </si>
  <si>
    <t>[项目特征]
1.名称:开关插座盒
2.规格:详设计
[工作内容]
1.本体安装
2.接线</t>
  </si>
  <si>
    <t>照明金属线槽SR300x100mm</t>
  </si>
  <si>
    <t>[项目特征]
1.材质:金属
2.规格:金属线槽SR300x100mm
[工作内容]
1.本体安装
2.补刷(喷)油漆</t>
  </si>
  <si>
    <t>照明金属线槽SR400x100mm</t>
  </si>
  <si>
    <t>[项目特征]
1.材质:金属
2.规格:金属线槽SR400x100mm
[工作内容]
1.本体安装
2.补刷(喷)油漆</t>
  </si>
  <si>
    <t>支架</t>
  </si>
  <si>
    <t>[项目特征]
1.名称:桥架支吊架
2.材质:综合考虑
3.规格:综合考虑
4.刷油要求:手工除轻绣、防锈漆2遍，调和漆2遍</t>
  </si>
  <si>
    <t>kg</t>
  </si>
  <si>
    <t>[项目特征]
1.材质:SC管
2.规格:20
3.敷设方式:沿墙、沿顶
[工作内容]
1.电线管路敷设
2.砖墙开沟槽
3.接地</t>
  </si>
  <si>
    <t>配管SC25</t>
  </si>
  <si>
    <t>[项目特征]
1.材质:SC管
2.规格:25
3.敷设方式:沿墙、沿顶
[工作内容]
1.电线管路敷设
2.砖墙开沟槽
4.接地</t>
  </si>
  <si>
    <t>[项目特征]
1.材质:SC管
2.规格:32
3.敷设方式:沿墙、沿顶
[工作内容]
1.电线管路敷设
2.砖墙开沟槽
5.接地</t>
  </si>
  <si>
    <t>配管SC40</t>
  </si>
  <si>
    <t>[项目特征]
1.材质:SC管
2.规格:40
3.敷设方式:沿墙、沿顶
[工作内容]
1.电线管路敷设
2.砖墙开沟槽
6.接地</t>
  </si>
  <si>
    <t>配管SC50</t>
  </si>
  <si>
    <t>[项目特征]
1.材质:SC管
2.规格:50
3.敷设方式:沿墙、沿顶
[工作内容]
1.电线管路敷设
2.砖墙开沟槽
7.接地</t>
  </si>
  <si>
    <t>配管SC70</t>
  </si>
  <si>
    <t>[项目特征]
1.材质:SC管
2.规格:70
3.敷设方式:沿墙、沿顶
[工作内容]
1.电线管路敷设
2.砖墙开沟槽
8.接地</t>
  </si>
  <si>
    <t>电力电缆WDZB-YJY-3X2.5</t>
  </si>
  <si>
    <t>[项目特征]
1.名称:电力电缆
2.型号:电力电缆WDZB-YJY-3X2.5
[工作内容]
1.配线</t>
  </si>
  <si>
    <t>电力电缆WDZB-YJY-5X2.5</t>
  </si>
  <si>
    <t>[项目特征]
1.名称:电力电缆
2.型号：电力电缆WDZB-YJY-5X2.5
[工作内容]
1.配线</t>
  </si>
  <si>
    <t>电力电缆WDZB-YJY-3X4</t>
  </si>
  <si>
    <t>[项目特征]
1.名称:电力电缆
2.型号：电力电缆WDZB-YJY-3X4
[工作内容]
1.配线</t>
  </si>
  <si>
    <t>电力电缆WDZB-YJY-5X10</t>
  </si>
  <si>
    <t>[项目特征]
1.名称:电力电缆
2.型号：电力电缆WDZB-YJY-5X10
[工作内容]
1.配线</t>
  </si>
  <si>
    <t>电力电缆WDZB-YJY-5X6</t>
  </si>
  <si>
    <t>[项目特征]
1.名称:电力电缆
2.型号：电力电缆WDZB-YJY-5X6
[工作内容]
1.配线</t>
  </si>
  <si>
    <t>电力电缆WDZB-YJY-4X35+1X16</t>
  </si>
  <si>
    <t>[项目特征]
1.名称:电力电缆
2.型号：电力电缆WDZB-YJY-4X35+1X16
[工作内容]
1.配线</t>
  </si>
  <si>
    <t>电力电缆头WDZB-YJY-4X35+1X16</t>
  </si>
  <si>
    <t>[项目特征]
1.名称:电力电缆头
2.型号、规格:WDZB-YJY-4X35+1X16
3.材质、类型:铜芯/热缩式
4.安装部位:综合考虑
5.电压等级(kV):综合考虑</t>
  </si>
  <si>
    <t>电力电缆WDZB-YJY-4X70+1X35</t>
  </si>
  <si>
    <t>[项目特征]
1.名称:电力电缆
2.型号：电力电缆WDZB-YJY-4X70+1X35
[工作内容]
1.配线</t>
  </si>
  <si>
    <t>电力电缆头WDZB-YJY-4X70+1X35</t>
  </si>
  <si>
    <t>[项目特征]
1.名称:电力电缆头
2.型号、规格:WDZB-YJY-4X70+1X35
3.材质、类型:铜芯/热缩式
4.安装部位:综合考虑
5.电压等级(kV):综合考虑</t>
  </si>
  <si>
    <t>电力电缆WDZB-YJY-4X50+1X25</t>
  </si>
  <si>
    <t>[项目特征]
1.名称:电力电缆
2.型号：电力电缆WDZB-YJY-4X50+1X25
[工作内容]
1.配线</t>
  </si>
  <si>
    <t>电力电缆头WDZB-YJY-4X50+1X25</t>
  </si>
  <si>
    <t>[项目特征]
1.名称:电力电缆头
2.型号、规格:WDZB-YJY-4X50+1X25
3.材质、类型:铜芯/热缩式
4.安装部位:综合考虑
5.电压等级(kV):综合考虑</t>
  </si>
  <si>
    <t>电力电缆WDZB-YJY-5X16</t>
  </si>
  <si>
    <t>[项目特征]
1.名称:电力电缆
2.型号：电力电缆WDZB-YJY-5X16
[工作内容]
1.配线</t>
  </si>
  <si>
    <t>电力电缆头WDZB-YJY-5X16</t>
  </si>
  <si>
    <t>[项目特征]
1.名称:电力电缆头
2.型号、规格:WDZB-YJY-5X16
3.材质、类型:铜芯/热缩式
4.安装部位:综合考虑
5.电压等级(kV):综合考虑</t>
  </si>
  <si>
    <t>电力电缆WDZB-YJY-4X25+1X16</t>
  </si>
  <si>
    <t>[项目特征]
1.名称:电力电缆
2.型号：电力电缆WDZB-YJY-4X25+1X16
[工作内容]
1.配线</t>
  </si>
  <si>
    <t>电力电缆头WDZB-YJY-4X25+1X16</t>
  </si>
  <si>
    <t>[项目特征]
1.名称:电力电缆头
2.型号、规格:WDZB-YJY-4X25+1X16
3.材质、类型:铜芯/热缩式
4.安装部位:综合考虑
5.电压等级(kV):综合考虑</t>
  </si>
  <si>
    <t>电力电缆WDZB-YJY-3X25+2X16</t>
  </si>
  <si>
    <t>[项目特征]
1.名称:电力电缆
2.型号：电力电缆WDZB-YJY-3X25+2X16
[工作内容]
1.配线</t>
  </si>
  <si>
    <t>电力电缆头WDZB-YJY-3X25+2X16</t>
  </si>
  <si>
    <t>[项目特征]
1.名称:电力电缆头
2.型号、规格:WDZB-YJY-3X25+2X16
3.材质、类型:铜芯/热缩式
4.安装部位:综合考虑
5.电压等级(kV):综合考虑</t>
  </si>
  <si>
    <t>九</t>
  </si>
  <si>
    <t>厨房给排水</t>
  </si>
  <si>
    <t>PPR给水管DN32</t>
  </si>
  <si>
    <t>[项目特征]
1.材质、规格:PPR给水管DN32
2.品牌：雄塑
[工作内容]
1.管道安装
2.管件安装
3.压力试验
6.吹扫、冲洗</t>
  </si>
  <si>
    <t>PP热水管DN25</t>
  </si>
  <si>
    <t>[项目特征]
1.材质、规格:PP热水管DN25
2.品牌：雄塑
[工作内容]
1.管道安装
2.管件安装
3.压力试验
11.吹扫、冲洗</t>
  </si>
  <si>
    <t>PVC排水管DN150</t>
  </si>
  <si>
    <t>[项目特征]
1.安装部位:室内
2.品牌:雄塑
3.材质、规格:PVC排水管DN150
4.连接形式:承插粘接
7.压力试验及吹、洗设计要求:满足设计及规范要求</t>
  </si>
  <si>
    <t>截止阀DN32</t>
  </si>
  <si>
    <t>[项目特征]
1.材质:截止阀DN32
2.品牌：雄塑
[工作内容]
1.安装
2.调试</t>
  </si>
  <si>
    <t>自动排气阀DN15</t>
  </si>
  <si>
    <t>[项目特征]
1.材质:自动排气阀DN15
2.品牌:雄塑
3.安装方式:满足设计及规范要求</t>
  </si>
  <si>
    <t>P型地漏DN150</t>
  </si>
  <si>
    <t>[项目特征]
1.名称:P型地漏DN50  
2.品牌、材质：雄塑
3.型号、规格:DN50
4.安装方式:满足设计及规范要求</t>
  </si>
  <si>
    <t>不锈钢地漏DN150</t>
  </si>
  <si>
    <t>[项目特征]
1.名称:不锈钢地漏DN150  
2.品牌、材质:雄塑  不锈钢
3.型号、规格:DN150
4.安装方式:满足设计及规范要求</t>
  </si>
  <si>
    <t>清扫口DN150</t>
  </si>
  <si>
    <t>[项目特征]
1.品牌：雄塑
2.型号、规格:DN150
3.安装方式:满足设计及规范要求</t>
  </si>
  <si>
    <t>柔性防水套管DN100</t>
  </si>
  <si>
    <t>雄塑[项目特征]
1.名称、类型:柔性防水套管DN100
2.规格:DN150
3.填料材质:满足设计及规范要求</t>
  </si>
  <si>
    <t>柔性防水套管DN150</t>
  </si>
  <si>
    <t>雄塑[项目特征]
1.名称、类型:柔性防水套管DN150
2.规格:DN150
3.填料材质:满足设计及规范要求</t>
  </si>
  <si>
    <t>十</t>
  </si>
  <si>
    <t>其它</t>
  </si>
  <si>
    <t>收边收口（收尾）费用</t>
  </si>
  <si>
    <t>十一</t>
  </si>
  <si>
    <t>措施费</t>
  </si>
  <si>
    <t>满堂脚手架（基本层）</t>
  </si>
  <si>
    <t>满堂脚手架（增加层1.2m）</t>
  </si>
  <si>
    <t>十二</t>
  </si>
  <si>
    <t>其它费用</t>
  </si>
  <si>
    <t>安全、文明施工费</t>
  </si>
  <si>
    <t>1.按照《重庆市建筑工程计价定额》（2018版）的相关规定及其配套文件中所规定的安全文明施工费组成的所有费用</t>
  </si>
  <si>
    <t>元</t>
  </si>
  <si>
    <t>1.计价基数：装饰工程+电气设备安装工程+给排水工程+措施费</t>
  </si>
  <si>
    <t>管理费</t>
  </si>
  <si>
    <t>1.办公费用、宿舍空调、生活区水电、门卫等费用
2.现场管理员、塔吊操作工、指挥工、勤杂工等辅助人员工资及生活费用</t>
  </si>
  <si>
    <t>1.计价基数：装饰工程+电气设备安装工程+给排水工程+措施费+安全文明施工费</t>
  </si>
  <si>
    <t>利润</t>
  </si>
  <si>
    <t>十三</t>
  </si>
  <si>
    <t>税前造价</t>
  </si>
  <si>
    <t>主体工程+其他费用</t>
  </si>
  <si>
    <t>十四</t>
  </si>
  <si>
    <t>税金</t>
  </si>
  <si>
    <t>增值税及附加</t>
  </si>
  <si>
    <t>1.计价基数：税前造价</t>
  </si>
  <si>
    <t>十五</t>
  </si>
  <si>
    <t>总价（税前造价+税金）</t>
  </si>
  <si>
    <r>
      <t>说明：
1、本清单综合单价包括（除甲供材料及设备外）但不限于：人工费、检测配合人工费；辅助材料费；小型机具费（水钻、空压机、料斗、磨儿机、钢筋制作设备等）；进度、质量保证措施费、管理费、利润等一切费用。
2、本工程为综合单价包干，不因任何原因调整。
3、本工程项目增值税税金以中标人实际开具的增值税专用发票按实计取，如中标人填报税率与实际开票税率不一致，以实际开票税率为准。
4、本工程安全文明施工费暂定</t>
    </r>
    <r>
      <rPr>
        <b/>
        <u/>
        <sz val="9"/>
        <rFont val="宋体"/>
        <charset val="134"/>
      </rPr>
      <t>256692.72</t>
    </r>
    <r>
      <rPr>
        <b/>
        <sz val="9"/>
        <rFont val="宋体"/>
        <charset val="134"/>
      </rPr>
      <t>元。结算时以主体工程的税前合价为基数按</t>
    </r>
    <r>
      <rPr>
        <b/>
        <u/>
        <sz val="9"/>
        <rFont val="宋体"/>
        <charset val="134"/>
      </rPr>
      <t>3.59</t>
    </r>
    <r>
      <rPr>
        <b/>
        <sz val="9"/>
        <rFont val="宋体"/>
        <charset val="134"/>
      </rPr>
      <t>%的比例计取。
5、甲供材料及设备内容：详附件一、附件二、附件三。</t>
    </r>
  </si>
  <si>
    <r>
      <rPr>
        <u/>
        <sz val="20"/>
        <color rgb="FF000000"/>
        <rFont val="宋体"/>
        <charset val="134"/>
      </rPr>
      <t xml:space="preserve">西北工业大学科创中心教学科研基地室内装修工程 </t>
    </r>
    <r>
      <rPr>
        <sz val="20"/>
        <color rgb="FF000000"/>
        <rFont val="宋体"/>
        <charset val="134"/>
      </rPr>
      <t>工程劳务分包</t>
    </r>
  </si>
  <si>
    <t>竞争性比选最高限价</t>
  </si>
  <si>
    <t>招标限价（税前造价）</t>
  </si>
  <si>
    <t>(小写):</t>
  </si>
  <si>
    <t/>
  </si>
  <si>
    <t>(大写):</t>
  </si>
  <si>
    <t xml:space="preserve">其中:安全文明施工费  </t>
  </si>
  <si>
    <t xml:space="preserve">          (大写):</t>
  </si>
  <si>
    <t>编   制   人：</t>
  </si>
  <si>
    <t>定价小组成员：</t>
  </si>
  <si>
    <t>定价小组组长：</t>
  </si>
  <si>
    <t>时间：       年        月       日</t>
  </si>
  <si>
    <r>
      <rPr>
        <b/>
        <u/>
        <sz val="18"/>
        <rFont val="宋体"/>
        <charset val="134"/>
      </rPr>
      <t xml:space="preserve"> 西北工业大学科创中心教学科研基地室内装修工程  </t>
    </r>
    <r>
      <rPr>
        <b/>
        <sz val="18"/>
        <rFont val="宋体"/>
        <charset val="134"/>
      </rPr>
      <t>工程劳务分包
清单限价表</t>
    </r>
  </si>
  <si>
    <t>附件一</t>
  </si>
  <si>
    <r>
      <rPr>
        <b/>
        <u/>
        <sz val="16"/>
        <color rgb="FF000000"/>
        <rFont val="宋体"/>
        <charset val="134"/>
      </rPr>
      <t xml:space="preserve">西北工业大学科创中心教学科研基地室内装修工程 </t>
    </r>
    <r>
      <rPr>
        <b/>
        <sz val="16"/>
        <color rgb="FF000000"/>
        <rFont val="宋体"/>
        <charset val="134"/>
      </rPr>
      <t>项目
甲供主材料明细表</t>
    </r>
  </si>
  <si>
    <t>项目名称：西北工业大学科创中心教学科研基地室内装修工程劳务分包合同</t>
  </si>
  <si>
    <t>材料名称</t>
  </si>
  <si>
    <t>规格、型号</t>
  </si>
  <si>
    <t>材料用量
（暂估）</t>
  </si>
  <si>
    <t>实木套装门</t>
  </si>
  <si>
    <t>五金：坚朗 品牌：向阳</t>
  </si>
  <si>
    <t>装饰板</t>
  </si>
  <si>
    <t>向阳</t>
  </si>
  <si>
    <t>成品钛合金玻璃门</t>
  </si>
  <si>
    <t>玻璃品种、厚度:10mm厚超白磨砂玻璃（信义）五金：坚朗</t>
  </si>
  <si>
    <t>不锈钢</t>
  </si>
  <si>
    <t>陶瓷薄板</t>
  </si>
  <si>
    <t>瓷砖</t>
  </si>
  <si>
    <t>麦高、博宝</t>
  </si>
  <si>
    <t>五金：坚朗</t>
  </si>
  <si>
    <t>JS防水涂料</t>
  </si>
  <si>
    <t>卓宝</t>
  </si>
  <si>
    <t>地毯</t>
  </si>
  <si>
    <t>道成、大于、海马</t>
  </si>
  <si>
    <t>防静电地板</t>
  </si>
  <si>
    <t>全钢防静电地板</t>
  </si>
  <si>
    <t>成品20mm厚实木踏步</t>
  </si>
  <si>
    <t>石材</t>
  </si>
  <si>
    <t>20mm厚进口云朵拉灰大理石</t>
  </si>
  <si>
    <t xml:space="preserve">成品伸缩缝 </t>
  </si>
  <si>
    <t xml:space="preserve">铝合金成品伸缩缝 </t>
  </si>
  <si>
    <t>拉丝不锈钢</t>
  </si>
  <si>
    <t>150*75面包砖</t>
  </si>
  <si>
    <t>10mm厚超白烤漆玻璃（信义）</t>
  </si>
  <si>
    <t>12mm厚穿孔吸音板（向阳）</t>
  </si>
  <si>
    <t>白色铝板(拓普或者西亚）含专用龙骨</t>
  </si>
  <si>
    <t>10mm超白钢化玻璃（信义）</t>
  </si>
  <si>
    <t>卫生间成品隔断</t>
  </si>
  <si>
    <t>18mm抗倍特板（恒飞）</t>
  </si>
  <si>
    <t>间</t>
  </si>
  <si>
    <t>卫生间成品小便斗隔断</t>
  </si>
  <si>
    <t>19mm抗倍特板（恒飞）</t>
  </si>
  <si>
    <t>1.2mm厚黑色发纹不锈钢</t>
  </si>
  <si>
    <t>600*600矿棉板吊顶</t>
  </si>
  <si>
    <t>:600*600*16阿姆斯壮矿棉板（毛毛虫花色）</t>
  </si>
  <si>
    <t>600x600铝扣板吊顶</t>
  </si>
  <si>
    <t>600x600铝扣板（世鹏）</t>
  </si>
  <si>
    <t>金属格栅吊顶</t>
  </si>
  <si>
    <t>120*20*2金属铝格栅（欧雅利）</t>
  </si>
  <si>
    <t>5mm厚亚克力板</t>
  </si>
  <si>
    <t>叠级、弧形</t>
  </si>
  <si>
    <t>黑色发纹不锈钢收口条</t>
  </si>
  <si>
    <t>白色铝板(拓普或者西亚），含专用龙骨</t>
  </si>
  <si>
    <t>无机防霉涂料</t>
  </si>
  <si>
    <t>防水无机防霉涂料</t>
  </si>
  <si>
    <t>20mm厚进口爵士白大理石</t>
  </si>
  <si>
    <t>5mm银镜（台镜），框材质、断面尺寸:1.2mm厚黑色发纹不锈钢</t>
  </si>
  <si>
    <t>304不锈钢亮光，355*60*80mm（四维SD1801 ST）</t>
  </si>
  <si>
    <t>304不锈钢亮光，406*60*80mm（四维SD1802 ST）</t>
  </si>
  <si>
    <t>超白钢化夹胶玻璃(信义），黑色发纹不锈钢扶手</t>
  </si>
  <si>
    <t>详设计</t>
  </si>
  <si>
    <t>2.1mm环氧树脂自流平地面</t>
  </si>
  <si>
    <t>防水乳胶漆</t>
  </si>
  <si>
    <t>字母+文字  长400X高300mm</t>
  </si>
  <si>
    <t>墙面充电标图案380X550mm</t>
  </si>
  <si>
    <t>墙体充电标图案600X1500mm</t>
  </si>
  <si>
    <t>单立柱1</t>
  </si>
  <si>
    <t>长400X高300mm，采用铝合金板贴Ⅲ类反光膜</t>
  </si>
  <si>
    <t>单立柱2</t>
  </si>
  <si>
    <t>3-φ600X2mm或2-φ600X2mm+三角形600mm</t>
  </si>
  <si>
    <t>单立柱3</t>
  </si>
  <si>
    <t>八角形600X2mm</t>
  </si>
  <si>
    <t>单立柱4</t>
  </si>
  <si>
    <t>1000X600X2mm</t>
  </si>
  <si>
    <t>单立柱5</t>
  </si>
  <si>
    <t>600X800X2mm</t>
  </si>
  <si>
    <t>单立柱6</t>
  </si>
  <si>
    <t>1-φ600X2mm</t>
  </si>
  <si>
    <t>减速路拱</t>
  </si>
  <si>
    <t>500*350*40mm</t>
  </si>
  <si>
    <t>车位号</t>
  </si>
  <si>
    <t>H=350喷漆</t>
  </si>
  <si>
    <t>块</t>
  </si>
  <si>
    <t>地面边线及边缘线</t>
  </si>
  <si>
    <t>W=150</t>
  </si>
  <si>
    <t>地面车位线</t>
  </si>
  <si>
    <t>斑马线</t>
  </si>
  <si>
    <t>W=400 L=3000</t>
  </si>
  <si>
    <t>地面箭头</t>
  </si>
  <si>
    <t>出入口诱600×800×2mm</t>
  </si>
  <si>
    <t>吊挂方600×1000×1.5mm</t>
  </si>
  <si>
    <t>圆形牌φ600×1.5mm</t>
  </si>
  <si>
    <t>通道指600×1200×1.5mm</t>
  </si>
  <si>
    <t>出入口诱6200×800×2mm</t>
  </si>
  <si>
    <t>采用铝合金板贴Ⅱ类反光膜</t>
  </si>
  <si>
    <t>出入口诱4000×800×2mm</t>
  </si>
  <si>
    <t>橡胶车档</t>
  </si>
  <si>
    <t>橡胶车档560X150X100mm</t>
  </si>
  <si>
    <t>吊牌支架</t>
  </si>
  <si>
    <t>20X10X1.2矩管</t>
  </si>
  <si>
    <t>柱面警示护角-高级橡胶800*80*80*5</t>
  </si>
  <si>
    <t>根</t>
  </si>
  <si>
    <t>凸面镜</t>
  </si>
  <si>
    <t>Φ800  树脂镜片</t>
  </si>
  <si>
    <t>灯具、灯带</t>
  </si>
  <si>
    <t>开关、插座</t>
  </si>
  <si>
    <t>西门子致尚</t>
  </si>
  <si>
    <t>欧野</t>
  </si>
  <si>
    <t>苏民电气TD28</t>
  </si>
  <si>
    <t>配管</t>
  </si>
  <si>
    <t>JDG（华朔）、SC20</t>
  </si>
  <si>
    <t>配线</t>
  </si>
  <si>
    <t>鸽皇</t>
  </si>
  <si>
    <t>PPR管</t>
  </si>
  <si>
    <t>雄塑</t>
  </si>
  <si>
    <t>截止阀</t>
  </si>
  <si>
    <t>地漏</t>
  </si>
  <si>
    <t>九牧、雄塑</t>
  </si>
  <si>
    <t>清扫口</t>
  </si>
  <si>
    <t>洗脸盆四维SC9802,龙头四维SF02114CP,弹跳去水SD1502CP,下水软管Q824,高压管SD1605CP</t>
  </si>
  <si>
    <t>洗脸盆四维SC7003,龙头四维SF02114CP,弹跳去水SD1502CP,下水软管Q824,高压管SD1605CP</t>
  </si>
  <si>
    <t>小便器四维SC5005,感应器SD204-AC</t>
  </si>
  <si>
    <t>蹲便器四维SC6022Q,脚踏阀四维SD2210CP,高压管SD1605CP</t>
  </si>
  <si>
    <t>海尔ES10U</t>
  </si>
  <si>
    <t>海尔EC5U</t>
  </si>
  <si>
    <t>拖帕池四维SC8001,龙头SD1402CP</t>
  </si>
  <si>
    <t>坐便器四维SC2003A,高压管SD1605CP</t>
  </si>
  <si>
    <t>照明金属线槽</t>
  </si>
  <si>
    <t>电力电缆</t>
  </si>
  <si>
    <t>电力电缆头</t>
  </si>
  <si>
    <t>排气阀</t>
  </si>
  <si>
    <t>柔性防水套管</t>
  </si>
  <si>
    <t>石膏板（泰山盾牌）</t>
  </si>
  <si>
    <t>阻燃板（恒隆安）</t>
  </si>
  <si>
    <t>硅酸钙板（金俞）</t>
  </si>
  <si>
    <t>水泥压力板（金俞）</t>
  </si>
  <si>
    <t>钢材</t>
  </si>
  <si>
    <t>各型</t>
  </si>
  <si>
    <t>专用勾缝剂DTG</t>
  </si>
  <si>
    <t>钢丝网</t>
  </si>
  <si>
    <t>预埋铁件</t>
  </si>
  <si>
    <t>水泥32.5R</t>
  </si>
  <si>
    <t>特细砂</t>
  </si>
  <si>
    <t>木材-锯材</t>
  </si>
  <si>
    <t>腻子粉成品(防水型)</t>
  </si>
  <si>
    <t>JS聚合物水泥防水涂料</t>
  </si>
  <si>
    <t>陶粒混凝土</t>
  </si>
  <si>
    <t>干混商品地面砂浆 M15</t>
  </si>
  <si>
    <t>砂子</t>
  </si>
  <si>
    <t>接线盒</t>
  </si>
  <si>
    <t>附件二</t>
  </si>
  <si>
    <r>
      <rPr>
        <b/>
        <u/>
        <sz val="16"/>
        <color rgb="FF000000"/>
        <rFont val="宋体"/>
        <charset val="134"/>
      </rPr>
      <t xml:space="preserve">西北工业大学科创中心教学科研基地室内装修工程 </t>
    </r>
    <r>
      <rPr>
        <b/>
        <sz val="16"/>
        <color rgb="FF000000"/>
        <rFont val="宋体"/>
        <charset val="134"/>
      </rPr>
      <t>项目临时设施
甲供主材料明细表</t>
    </r>
  </si>
  <si>
    <t>附件三</t>
  </si>
  <si>
    <r>
      <rPr>
        <b/>
        <u/>
        <sz val="16"/>
        <color rgb="FF000000"/>
        <rFont val="宋体"/>
        <charset val="134"/>
      </rPr>
      <t xml:space="preserve">西北工业大学科创中心教学科研基地室内装修工程  </t>
    </r>
    <r>
      <rPr>
        <b/>
        <sz val="16"/>
        <color rgb="FF000000"/>
        <rFont val="宋体"/>
        <charset val="134"/>
      </rPr>
      <t>项目
甲供周转材料及机械设备租赁明细表</t>
    </r>
  </si>
  <si>
    <t>材料/设备名称</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</si>
</sst>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0.000_ "/>
    <numFmt numFmtId="178" formatCode="0.00;[Red]0.00"/>
    <numFmt numFmtId="179" formatCode="0_ "/>
    <numFmt numFmtId="180" formatCode="[DBNum2][$RMB]General;[Red][DBNum2][$RMB]General"/>
  </numFmts>
  <fonts count="54">
    <font>
      <sz val="11"/>
      <color theme="1"/>
      <name val="宋体"/>
      <charset val="134"/>
      <scheme val="minor"/>
    </font>
    <font>
      <sz val="11"/>
      <name val="微软雅黑"/>
      <charset val="134"/>
    </font>
    <font>
      <sz val="10"/>
      <name val="Arial"/>
      <charset val="0"/>
    </font>
    <font>
      <sz val="12"/>
      <name val="宋体"/>
      <charset val="134"/>
    </font>
    <font>
      <b/>
      <u/>
      <sz val="16"/>
      <color rgb="FF000000"/>
      <name val="宋体"/>
      <charset val="134"/>
    </font>
    <font>
      <b/>
      <sz val="16"/>
      <color indexed="8"/>
      <name val="宋体"/>
      <charset val="134"/>
    </font>
    <font>
      <sz val="10.5"/>
      <color indexed="8"/>
      <name val="黑体"/>
      <charset val="134"/>
    </font>
    <font>
      <sz val="10.5"/>
      <color indexed="8"/>
      <name val="宋体"/>
      <charset val="134"/>
    </font>
    <font>
      <sz val="10.5"/>
      <color rgb="FF000000"/>
      <name val="SimSun"/>
      <charset val="134"/>
    </font>
    <font>
      <sz val="9"/>
      <name val="宋体"/>
      <charset val="134"/>
    </font>
    <font>
      <sz val="9"/>
      <color indexed="8"/>
      <name val="宋体"/>
      <charset val="134"/>
    </font>
    <font>
      <sz val="11"/>
      <name val="宋体"/>
      <charset val="134"/>
    </font>
    <font>
      <b/>
      <sz val="11"/>
      <name val="宋体"/>
      <charset val="134"/>
    </font>
    <font>
      <b/>
      <sz val="9"/>
      <name val="宋体"/>
      <charset val="134"/>
    </font>
    <font>
      <sz val="11"/>
      <color theme="0"/>
      <name val="宋体"/>
      <charset val="134"/>
    </font>
    <font>
      <b/>
      <u/>
      <sz val="18"/>
      <name val="宋体"/>
      <charset val="134"/>
    </font>
    <font>
      <b/>
      <sz val="18"/>
      <name val="宋体"/>
      <charset val="134"/>
    </font>
    <font>
      <b/>
      <sz val="9"/>
      <color theme="1"/>
      <name val="宋体"/>
      <charset val="134"/>
      <scheme val="minor"/>
    </font>
    <font>
      <sz val="9"/>
      <color theme="1"/>
      <name val="宋体"/>
      <charset val="134"/>
      <scheme val="minor"/>
    </font>
    <font>
      <sz val="9"/>
      <color rgb="FF000000"/>
      <name val="宋体"/>
      <charset val="134"/>
    </font>
    <font>
      <b/>
      <sz val="11"/>
      <color theme="0"/>
      <name val="宋体"/>
      <charset val="134"/>
    </font>
    <font>
      <b/>
      <sz val="9"/>
      <color theme="0"/>
      <name val="宋体"/>
      <charset val="134"/>
    </font>
    <font>
      <sz val="9"/>
      <color theme="0"/>
      <name val="宋体"/>
      <charset val="134"/>
    </font>
    <font>
      <b/>
      <sz val="9"/>
      <color rgb="FF000000"/>
      <name val="宋体"/>
      <charset val="134"/>
    </font>
    <font>
      <b/>
      <sz val="9"/>
      <color theme="1"/>
      <name val="宋体"/>
      <charset val="134"/>
    </font>
    <font>
      <b/>
      <sz val="9"/>
      <name val="??_GB2312"/>
      <family val="2"/>
      <charset val="0"/>
    </font>
    <font>
      <u/>
      <sz val="20"/>
      <color rgb="FF000000"/>
      <name val="宋体"/>
      <charset val="134"/>
    </font>
    <font>
      <sz val="20"/>
      <color indexed="0"/>
      <name val="宋体"/>
      <charset val="134"/>
    </font>
    <font>
      <b/>
      <sz val="26"/>
      <color indexed="0"/>
      <name val="宋体"/>
      <charset val="134"/>
    </font>
    <font>
      <sz val="12"/>
      <color indexed="0"/>
      <name val="宋体"/>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b/>
      <sz val="16"/>
      <color rgb="FF000000"/>
      <name val="宋体"/>
      <charset val="134"/>
    </font>
    <font>
      <b/>
      <u/>
      <sz val="9"/>
      <name val="宋体"/>
      <charset val="134"/>
    </font>
    <font>
      <sz val="20"/>
      <color rgb="FF000000"/>
      <name val="宋体"/>
      <charset val="134"/>
    </font>
    <font>
      <sz val="9"/>
      <name val="宋体"/>
      <charset val="134"/>
    </font>
    <font>
      <b/>
      <sz val="9"/>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0"/>
      </left>
      <right style="thin">
        <color indexed="0"/>
      </right>
      <top style="thin">
        <color indexed="0"/>
      </top>
      <bottom style="thin">
        <color indexed="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31" fillId="4" borderId="0" applyNumberFormat="0" applyBorder="0" applyAlignment="0" applyProtection="0">
      <alignment vertical="center"/>
    </xf>
    <xf numFmtId="0" fontId="44"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2" borderId="0" applyNumberFormat="0" applyBorder="0" applyAlignment="0" applyProtection="0">
      <alignment vertical="center"/>
    </xf>
    <xf numFmtId="0" fontId="35" fillId="9" borderId="0" applyNumberFormat="0" applyBorder="0" applyAlignment="0" applyProtection="0">
      <alignment vertical="center"/>
    </xf>
    <xf numFmtId="43" fontId="0" fillId="0" borderId="0" applyFont="0" applyFill="0" applyBorder="0" applyAlignment="0" applyProtection="0">
      <alignment vertical="center"/>
    </xf>
    <xf numFmtId="0" fontId="30" fillId="19"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8" borderId="10" applyNumberFormat="0" applyFont="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7" fillId="0" borderId="13" applyNumberFormat="0" applyFill="0" applyAlignment="0" applyProtection="0">
      <alignment vertical="center"/>
    </xf>
    <xf numFmtId="0" fontId="40" fillId="0" borderId="13" applyNumberFormat="0" applyFill="0" applyAlignment="0" applyProtection="0">
      <alignment vertical="center"/>
    </xf>
    <xf numFmtId="0" fontId="30" fillId="29" borderId="0" applyNumberFormat="0" applyBorder="0" applyAlignment="0" applyProtection="0">
      <alignment vertical="center"/>
    </xf>
    <xf numFmtId="0" fontId="43" fillId="0" borderId="16" applyNumberFormat="0" applyFill="0" applyAlignment="0" applyProtection="0">
      <alignment vertical="center"/>
    </xf>
    <xf numFmtId="0" fontId="30" fillId="22" borderId="0" applyNumberFormat="0" applyBorder="0" applyAlignment="0" applyProtection="0">
      <alignment vertical="center"/>
    </xf>
    <xf numFmtId="0" fontId="45" fillId="7" borderId="15" applyNumberFormat="0" applyAlignment="0" applyProtection="0">
      <alignment vertical="center"/>
    </xf>
    <xf numFmtId="0" fontId="34" fillId="7" borderId="9" applyNumberFormat="0" applyAlignment="0" applyProtection="0">
      <alignment vertical="center"/>
    </xf>
    <xf numFmtId="0" fontId="39" fillId="16" borderId="12" applyNumberFormat="0" applyAlignment="0" applyProtection="0">
      <alignment vertical="center"/>
    </xf>
    <xf numFmtId="0" fontId="31" fillId="30" borderId="0" applyNumberFormat="0" applyBorder="0" applyAlignment="0" applyProtection="0">
      <alignment vertical="center"/>
    </xf>
    <xf numFmtId="0" fontId="30" fillId="21" borderId="0" applyNumberFormat="0" applyBorder="0" applyAlignment="0" applyProtection="0">
      <alignment vertical="center"/>
    </xf>
    <xf numFmtId="0" fontId="36" fillId="0" borderId="11" applyNumberFormat="0" applyFill="0" applyAlignment="0" applyProtection="0">
      <alignment vertical="center"/>
    </xf>
    <xf numFmtId="0" fontId="42" fillId="0" borderId="14" applyNumberFormat="0" applyFill="0" applyAlignment="0" applyProtection="0">
      <alignment vertical="center"/>
    </xf>
    <xf numFmtId="0" fontId="33" fillId="6" borderId="0" applyNumberFormat="0" applyBorder="0" applyAlignment="0" applyProtection="0">
      <alignment vertical="center"/>
    </xf>
    <xf numFmtId="0" fontId="38" fillId="15" borderId="0" applyNumberFormat="0" applyBorder="0" applyAlignment="0" applyProtection="0">
      <alignment vertical="center"/>
    </xf>
    <xf numFmtId="0" fontId="31" fillId="20" borderId="0" applyNumberFormat="0" applyBorder="0" applyAlignment="0" applyProtection="0">
      <alignment vertical="center"/>
    </xf>
    <xf numFmtId="0" fontId="30" fillId="26" borderId="0" applyNumberFormat="0" applyBorder="0" applyAlignment="0" applyProtection="0">
      <alignment vertical="center"/>
    </xf>
    <xf numFmtId="0" fontId="31" fillId="18"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25" borderId="0" applyNumberFormat="0" applyBorder="0" applyAlignment="0" applyProtection="0">
      <alignment vertical="center"/>
    </xf>
    <xf numFmtId="0" fontId="30" fillId="14" borderId="0" applyNumberFormat="0" applyBorder="0" applyAlignment="0" applyProtection="0">
      <alignment vertical="center"/>
    </xf>
    <xf numFmtId="0" fontId="30" fillId="5" borderId="0" applyNumberFormat="0" applyBorder="0" applyAlignment="0" applyProtection="0">
      <alignment vertical="center"/>
    </xf>
    <xf numFmtId="0" fontId="31" fillId="13" borderId="0" applyNumberFormat="0" applyBorder="0" applyAlignment="0" applyProtection="0">
      <alignment vertical="center"/>
    </xf>
    <xf numFmtId="0" fontId="31" fillId="28" borderId="0" applyNumberFormat="0" applyBorder="0" applyAlignment="0" applyProtection="0">
      <alignment vertical="center"/>
    </xf>
    <xf numFmtId="0" fontId="30" fillId="17" borderId="0" applyNumberFormat="0" applyBorder="0" applyAlignment="0" applyProtection="0">
      <alignment vertical="center"/>
    </xf>
    <xf numFmtId="0" fontId="31" fillId="24" borderId="0" applyNumberFormat="0" applyBorder="0" applyAlignment="0" applyProtection="0">
      <alignment vertical="center"/>
    </xf>
    <xf numFmtId="0" fontId="30" fillId="2" borderId="0" applyNumberFormat="0" applyBorder="0" applyAlignment="0" applyProtection="0">
      <alignment vertical="center"/>
    </xf>
    <xf numFmtId="0" fontId="30" fillId="27" borderId="0" applyNumberFormat="0" applyBorder="0" applyAlignment="0" applyProtection="0">
      <alignment vertical="center"/>
    </xf>
    <xf numFmtId="0" fontId="31" fillId="32" borderId="0" applyNumberFormat="0" applyBorder="0" applyAlignment="0" applyProtection="0">
      <alignment vertical="center"/>
    </xf>
    <xf numFmtId="0" fontId="30" fillId="31" borderId="0" applyNumberFormat="0" applyBorder="0" applyAlignment="0" applyProtection="0">
      <alignment vertical="center"/>
    </xf>
    <xf numFmtId="0" fontId="18" fillId="0" borderId="0"/>
  </cellStyleXfs>
  <cellXfs count="1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178" fontId="2" fillId="0" borderId="0" xfId="0" applyNumberFormat="1" applyFont="1" applyFill="1" applyBorder="1" applyAlignment="1">
      <alignment horizontal="right"/>
    </xf>
    <xf numFmtId="0" fontId="3" fillId="0" borderId="0" xfId="0" applyFont="1" applyFill="1" applyAlignment="1">
      <alignment horizontal="left" vertical="center"/>
    </xf>
    <xf numFmtId="0" fontId="4" fillId="0" borderId="0" xfId="0" applyNumberFormat="1" applyFont="1" applyFill="1" applyBorder="1" applyAlignment="1" applyProtection="1">
      <alignment horizontal="center" vertical="center" wrapText="1" readingOrder="1"/>
    </xf>
    <xf numFmtId="0" fontId="5" fillId="0" borderId="0" xfId="0" applyNumberFormat="1" applyFont="1" applyFill="1" applyBorder="1" applyAlignment="1" applyProtection="1">
      <alignment horizontal="center" vertical="center" wrapText="1" readingOrder="1"/>
    </xf>
    <xf numFmtId="178" fontId="5" fillId="0" borderId="0" xfId="0" applyNumberFormat="1" applyFont="1" applyFill="1" applyBorder="1" applyAlignment="1" applyProtection="1">
      <alignment horizontal="right" vertical="center" wrapText="1" readingOrder="1"/>
    </xf>
    <xf numFmtId="0" fontId="6" fillId="0" borderId="0" xfId="0" applyNumberFormat="1" applyFont="1" applyFill="1" applyBorder="1" applyAlignment="1" applyProtection="1">
      <alignment horizontal="left" vertical="center" wrapText="1" readingOrder="1"/>
    </xf>
    <xf numFmtId="178" fontId="6" fillId="0" borderId="0" xfId="0" applyNumberFormat="1" applyFont="1" applyFill="1" applyBorder="1" applyAlignment="1" applyProtection="1">
      <alignment horizontal="right" vertical="center" wrapText="1" readingOrder="1"/>
    </xf>
    <xf numFmtId="0" fontId="6" fillId="0" borderId="1" xfId="0" applyNumberFormat="1" applyFont="1" applyFill="1" applyBorder="1" applyAlignment="1" applyProtection="1">
      <alignment horizontal="center" vertical="center" wrapText="1" readingOrder="1"/>
    </xf>
    <xf numFmtId="178" fontId="6" fillId="0" borderId="1" xfId="0" applyNumberFormat="1" applyFont="1" applyFill="1" applyBorder="1" applyAlignment="1" applyProtection="1">
      <alignment horizontal="center" vertical="center" wrapText="1" readingOrder="1"/>
    </xf>
    <xf numFmtId="0" fontId="7" fillId="0" borderId="1" xfId="0" applyNumberFormat="1" applyFont="1" applyFill="1" applyBorder="1" applyAlignment="1" applyProtection="1">
      <alignment horizontal="center" vertical="center" wrapText="1" readingOrder="1"/>
    </xf>
    <xf numFmtId="0" fontId="7" fillId="0" borderId="1" xfId="0" applyNumberFormat="1" applyFont="1" applyFill="1" applyBorder="1" applyAlignment="1" applyProtection="1">
      <alignment horizontal="left" vertical="center" wrapText="1" readingOrder="1"/>
    </xf>
    <xf numFmtId="178" fontId="7" fillId="0" borderId="1" xfId="0" applyNumberFormat="1" applyFont="1" applyFill="1" applyBorder="1" applyAlignment="1" applyProtection="1">
      <alignment horizontal="right" vertical="center" wrapText="1" readingOrder="1"/>
    </xf>
    <xf numFmtId="178" fontId="2" fillId="0" borderId="1" xfId="0" applyNumberFormat="1" applyFont="1" applyFill="1" applyBorder="1" applyAlignment="1">
      <alignment horizontal="right"/>
    </xf>
    <xf numFmtId="0" fontId="8" fillId="0" borderId="1" xfId="0" applyNumberFormat="1" applyFont="1" applyFill="1" applyBorder="1" applyAlignment="1" applyProtection="1">
      <alignment horizontal="center" vertical="center" wrapText="1" readingOrder="1"/>
    </xf>
    <xf numFmtId="0" fontId="2" fillId="0" borderId="0" xfId="0" applyFont="1" applyFill="1" applyBorder="1" applyAlignment="1">
      <alignment horizontal="left"/>
    </xf>
    <xf numFmtId="0" fontId="3" fillId="0" borderId="0" xfId="0" applyFont="1" applyFill="1" applyAlignment="1">
      <alignment horizontal="center" vertical="center"/>
    </xf>
    <xf numFmtId="0" fontId="5" fillId="0" borderId="0" xfId="0" applyNumberFormat="1" applyFont="1" applyFill="1" applyBorder="1" applyAlignment="1" applyProtection="1">
      <alignment horizontal="left" vertical="center" wrapText="1" readingOrder="1"/>
    </xf>
    <xf numFmtId="0" fontId="6" fillId="0" borderId="0" xfId="0" applyNumberFormat="1" applyFont="1" applyFill="1" applyBorder="1" applyAlignment="1" applyProtection="1">
      <alignment horizontal="center" vertical="center" wrapText="1" readingOrder="1"/>
    </xf>
    <xf numFmtId="0" fontId="7" fillId="0" borderId="2" xfId="0" applyNumberFormat="1" applyFont="1" applyFill="1" applyBorder="1" applyAlignment="1" applyProtection="1">
      <alignment horizontal="center" vertical="center" wrapText="1" readingOrder="1"/>
    </xf>
    <xf numFmtId="0" fontId="9" fillId="0" borderId="1" xfId="0" applyNumberFormat="1" applyFont="1" applyFill="1" applyBorder="1" applyAlignment="1" applyProtection="1">
      <alignment horizontal="left" vertical="center" wrapText="1"/>
    </xf>
    <xf numFmtId="0" fontId="9" fillId="0" borderId="3" xfId="49" applyFont="1" applyFill="1" applyBorder="1" applyAlignment="1">
      <alignment horizontal="left" vertical="center" wrapText="1"/>
    </xf>
    <xf numFmtId="0" fontId="9" fillId="0" borderId="1" xfId="49" applyFont="1" applyFill="1" applyBorder="1" applyAlignment="1">
      <alignment horizontal="center" vertical="center" wrapText="1"/>
    </xf>
    <xf numFmtId="0" fontId="9" fillId="0" borderId="1" xfId="0" applyNumberFormat="1" applyFont="1" applyFill="1" applyBorder="1" applyAlignment="1" applyProtection="1">
      <alignment horizontal="right" vertical="center" wrapText="1"/>
    </xf>
    <xf numFmtId="0" fontId="7" fillId="0" borderId="4" xfId="0" applyNumberFormat="1" applyFont="1" applyFill="1" applyBorder="1" applyAlignment="1" applyProtection="1">
      <alignment horizontal="center" vertical="center" wrapText="1" readingOrder="1"/>
    </xf>
    <xf numFmtId="0" fontId="9" fillId="0" borderId="1" xfId="0" applyNumberFormat="1" applyFont="1" applyFill="1" applyBorder="1" applyAlignment="1" applyProtection="1">
      <alignment horizontal="center" vertical="center" wrapText="1"/>
    </xf>
    <xf numFmtId="0" fontId="9" fillId="0" borderId="1" xfId="49" applyFont="1" applyFill="1" applyBorder="1" applyAlignment="1">
      <alignment horizontal="left" vertical="center" wrapText="1"/>
    </xf>
    <xf numFmtId="0" fontId="9" fillId="0" borderId="1" xfId="49" applyFont="1" applyFill="1" applyBorder="1" applyAlignment="1">
      <alignment horizontal="left" vertical="center" wrapText="1"/>
    </xf>
    <xf numFmtId="0" fontId="9" fillId="0" borderId="3" xfId="49" applyFont="1" applyFill="1" applyBorder="1" applyAlignment="1">
      <alignment horizontal="left" vertical="center" wrapText="1"/>
    </xf>
    <xf numFmtId="0" fontId="9" fillId="0" borderId="1" xfId="49"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wrapText="1" readingOrder="1"/>
    </xf>
    <xf numFmtId="0" fontId="9" fillId="0" borderId="6" xfId="49" applyFont="1" applyFill="1" applyBorder="1" applyAlignment="1">
      <alignment horizontal="left" vertical="center" wrapText="1"/>
    </xf>
    <xf numFmtId="0" fontId="10" fillId="0" borderId="7" xfId="0" applyNumberFormat="1" applyFont="1" applyFill="1" applyBorder="1" applyAlignment="1" applyProtection="1">
      <alignment horizontal="left" vertical="center" wrapText="1"/>
    </xf>
    <xf numFmtId="0" fontId="9" fillId="0" borderId="3" xfId="49" applyFont="1" applyFill="1" applyBorder="1" applyAlignment="1">
      <alignment horizontal="center" vertical="center" wrapText="1"/>
    </xf>
    <xf numFmtId="177" fontId="9" fillId="0" borderId="3" xfId="49" applyNumberFormat="1" applyFont="1" applyFill="1" applyBorder="1" applyAlignment="1">
      <alignment horizontal="center" vertical="center" wrapText="1"/>
    </xf>
    <xf numFmtId="177" fontId="9" fillId="0" borderId="3" xfId="49" applyNumberFormat="1" applyFont="1" applyFill="1" applyBorder="1" applyAlignment="1">
      <alignment horizontal="left" vertical="center" wrapText="1"/>
    </xf>
    <xf numFmtId="177" fontId="9" fillId="0" borderId="1" xfId="49" applyNumberFormat="1" applyFont="1" applyFill="1" applyBorder="1" applyAlignment="1">
      <alignment horizontal="left" vertical="center" wrapText="1"/>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0" fontId="9" fillId="0" borderId="0" xfId="0" applyFont="1" applyFill="1" applyBorder="1" applyAlignment="1">
      <alignment vertical="center"/>
    </xf>
    <xf numFmtId="0" fontId="13" fillId="0" borderId="0" xfId="0" applyFont="1" applyFill="1" applyBorder="1" applyAlignment="1">
      <alignment vertical="center"/>
    </xf>
    <xf numFmtId="0" fontId="9" fillId="0" borderId="0" xfId="0" applyFont="1" applyFill="1" applyBorder="1" applyAlignment="1">
      <alignment vertical="center"/>
    </xf>
    <xf numFmtId="0" fontId="13" fillId="0" borderId="0" xfId="0" applyFont="1" applyFill="1" applyBorder="1" applyAlignment="1">
      <alignment vertical="center"/>
    </xf>
    <xf numFmtId="0" fontId="11" fillId="0" borderId="0" xfId="0" applyFont="1" applyFill="1" applyBorder="1" applyAlignment="1">
      <alignment horizontal="center" vertical="center"/>
    </xf>
    <xf numFmtId="178" fontId="11" fillId="0" borderId="0" xfId="0" applyNumberFormat="1" applyFont="1" applyFill="1" applyBorder="1" applyAlignment="1">
      <alignment horizontal="center" vertical="center"/>
    </xf>
    <xf numFmtId="0" fontId="14" fillId="0" borderId="0" xfId="0" applyFont="1" applyFill="1" applyBorder="1" applyAlignment="1">
      <alignment vertical="center"/>
    </xf>
    <xf numFmtId="0" fontId="0" fillId="0" borderId="0" xfId="0" applyFill="1">
      <alignmen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178" fontId="16" fillId="0" borderId="0" xfId="0" applyNumberFormat="1" applyFont="1" applyFill="1" applyBorder="1" applyAlignment="1">
      <alignment horizontal="center" vertical="center"/>
    </xf>
    <xf numFmtId="0" fontId="12" fillId="0" borderId="1" xfId="0" applyFont="1" applyFill="1" applyBorder="1" applyAlignment="1">
      <alignment horizontal="center" vertical="center"/>
    </xf>
    <xf numFmtId="178"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1" xfId="49" applyFont="1" applyFill="1" applyBorder="1" applyAlignment="1">
      <alignment vertical="center" wrapText="1"/>
    </xf>
    <xf numFmtId="0" fontId="13" fillId="0" borderId="1" xfId="49" applyFont="1" applyFill="1" applyBorder="1" applyAlignment="1">
      <alignment horizontal="left" vertical="center" wrapText="1"/>
    </xf>
    <xf numFmtId="0" fontId="13" fillId="0" borderId="1" xfId="49" applyFont="1" applyFill="1" applyBorder="1" applyAlignment="1">
      <alignment horizontal="center" vertical="center" wrapText="1"/>
    </xf>
    <xf numFmtId="178" fontId="13" fillId="0" borderId="1" xfId="49" applyNumberFormat="1" applyFont="1" applyFill="1" applyBorder="1" applyAlignment="1">
      <alignment horizontal="center" vertical="center" wrapText="1"/>
    </xf>
    <xf numFmtId="176" fontId="17" fillId="0" borderId="1" xfId="49" applyNumberFormat="1" applyFont="1" applyFill="1" applyBorder="1" applyAlignment="1">
      <alignment horizontal="right" vertical="center"/>
    </xf>
    <xf numFmtId="176" fontId="13" fillId="0" borderId="1" xfId="0" applyNumberFormat="1" applyFont="1" applyFill="1" applyBorder="1" applyAlignment="1">
      <alignment horizontal="right" vertical="center"/>
    </xf>
    <xf numFmtId="0" fontId="13" fillId="0" borderId="1" xfId="0" applyFont="1" applyFill="1" applyBorder="1" applyAlignment="1">
      <alignment vertical="center" wrapText="1"/>
    </xf>
    <xf numFmtId="0" fontId="13" fillId="0" borderId="1" xfId="49" applyFont="1" applyFill="1" applyBorder="1" applyAlignment="1">
      <alignment vertical="center" wrapText="1"/>
    </xf>
    <xf numFmtId="176" fontId="18" fillId="0" borderId="1" xfId="49"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0" fontId="9" fillId="0" borderId="1" xfId="0" applyFont="1" applyFill="1" applyBorder="1" applyAlignment="1">
      <alignment vertical="center" wrapText="1"/>
    </xf>
    <xf numFmtId="176" fontId="9" fillId="0" borderId="1" xfId="49" applyNumberFormat="1" applyFont="1" applyFill="1" applyBorder="1" applyAlignment="1">
      <alignment horizontal="center" vertical="center" wrapText="1"/>
    </xf>
    <xf numFmtId="176" fontId="19" fillId="0" borderId="1" xfId="0" applyNumberFormat="1" applyFont="1" applyFill="1" applyBorder="1" applyAlignment="1">
      <alignment horizontal="right" vertical="center" wrapText="1"/>
    </xf>
    <xf numFmtId="0" fontId="13" fillId="0" borderId="1" xfId="49" applyFont="1" applyFill="1" applyBorder="1" applyAlignment="1">
      <alignment horizontal="left" vertical="center" wrapText="1"/>
    </xf>
    <xf numFmtId="0" fontId="9" fillId="0" borderId="1" xfId="49"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vertical="center"/>
    </xf>
    <xf numFmtId="0" fontId="22" fillId="0" borderId="0" xfId="0" applyFont="1" applyFill="1" applyBorder="1" applyAlignment="1">
      <alignment vertical="center"/>
    </xf>
    <xf numFmtId="176" fontId="22" fillId="0" borderId="0" xfId="0" applyNumberFormat="1" applyFont="1" applyFill="1" applyBorder="1" applyAlignment="1">
      <alignment horizontal="right" vertical="center" wrapText="1"/>
    </xf>
    <xf numFmtId="176" fontId="22" fillId="0" borderId="0" xfId="0" applyNumberFormat="1" applyFont="1" applyFill="1" applyBorder="1" applyAlignment="1">
      <alignment horizontal="justify" vertical="center" wrapText="1"/>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right" vertical="center" wrapText="1"/>
    </xf>
    <xf numFmtId="176" fontId="21" fillId="0" borderId="0" xfId="0" applyNumberFormat="1" applyFont="1" applyFill="1" applyBorder="1" applyAlignment="1">
      <alignment horizontal="justify"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9" fillId="0" borderId="1" xfId="49" applyFont="1" applyFill="1" applyBorder="1" applyAlignment="1">
      <alignment horizontal="right" vertical="center" wrapText="1"/>
    </xf>
    <xf numFmtId="176" fontId="9" fillId="0" borderId="1" xfId="49" applyNumberFormat="1" applyFont="1" applyFill="1" applyBorder="1" applyAlignment="1">
      <alignment horizontal="right" vertical="center" wrapText="1"/>
    </xf>
    <xf numFmtId="176" fontId="21" fillId="0" borderId="0" xfId="0" applyNumberFormat="1" applyFont="1" applyFill="1" applyBorder="1" applyAlignment="1">
      <alignment horizontal="right" vertical="center" wrapText="1"/>
    </xf>
    <xf numFmtId="176" fontId="21" fillId="0" borderId="0" xfId="49" applyNumberFormat="1" applyFont="1" applyFill="1" applyBorder="1" applyAlignment="1">
      <alignment horizontal="right" vertical="center" wrapText="1"/>
    </xf>
    <xf numFmtId="0" fontId="23" fillId="0" borderId="1" xfId="0" applyFont="1" applyFill="1" applyBorder="1" applyAlignment="1">
      <alignment horizontal="justify" vertical="center" wrapText="1"/>
    </xf>
    <xf numFmtId="179" fontId="13" fillId="0" borderId="1" xfId="49" applyNumberFormat="1" applyFont="1" applyFill="1" applyBorder="1" applyAlignment="1">
      <alignment vertical="center" wrapText="1"/>
    </xf>
    <xf numFmtId="179" fontId="13" fillId="0" borderId="1" xfId="49" applyNumberFormat="1" applyFont="1" applyFill="1" applyBorder="1" applyAlignment="1">
      <alignment horizontal="left" vertical="center" wrapText="1"/>
    </xf>
    <xf numFmtId="0" fontId="13" fillId="0" borderId="1" xfId="0" applyFont="1" applyFill="1" applyBorder="1" applyAlignment="1">
      <alignment vertical="center"/>
    </xf>
    <xf numFmtId="177" fontId="9" fillId="0" borderId="1" xfId="49" applyNumberFormat="1" applyFont="1" applyFill="1" applyBorder="1" applyAlignment="1">
      <alignment horizontal="center" vertical="center" wrapText="1"/>
    </xf>
    <xf numFmtId="179" fontId="24" fillId="0" borderId="1" xfId="49" applyNumberFormat="1" applyFont="1" applyFill="1" applyBorder="1" applyAlignment="1">
      <alignment horizontal="center" vertical="center" wrapText="1"/>
    </xf>
    <xf numFmtId="177" fontId="13" fillId="0" borderId="1" xfId="49" applyNumberFormat="1" applyFont="1" applyFill="1" applyBorder="1" applyAlignment="1">
      <alignment vertical="center" wrapText="1"/>
    </xf>
    <xf numFmtId="176" fontId="21" fillId="0" borderId="0" xfId="0" applyNumberFormat="1" applyFont="1" applyFill="1" applyBorder="1" applyAlignment="1">
      <alignment vertical="center"/>
    </xf>
    <xf numFmtId="177" fontId="13" fillId="0" borderId="1" xfId="49" applyNumberFormat="1" applyFont="1" applyFill="1" applyBorder="1" applyAlignment="1">
      <alignment horizontal="left" vertical="center" wrapText="1"/>
    </xf>
    <xf numFmtId="177" fontId="13" fillId="0" borderId="1" xfId="49" applyNumberFormat="1" applyFont="1" applyFill="1" applyBorder="1" applyAlignment="1">
      <alignment horizontal="center" vertical="center" wrapText="1"/>
    </xf>
    <xf numFmtId="178" fontId="13" fillId="0" borderId="1" xfId="49" applyNumberFormat="1" applyFont="1" applyFill="1" applyBorder="1" applyAlignment="1">
      <alignment horizontal="righ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8"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178"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right" vertical="center"/>
    </xf>
    <xf numFmtId="0" fontId="13" fillId="0" borderId="1" xfId="0" applyFont="1" applyFill="1" applyBorder="1" applyAlignment="1">
      <alignment vertical="center"/>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176" fontId="25" fillId="0" borderId="1" xfId="0" applyNumberFormat="1" applyFont="1" applyFill="1" applyBorder="1" applyAlignment="1">
      <alignment horizontal="right" vertical="center" wrapText="1"/>
    </xf>
    <xf numFmtId="176" fontId="22" fillId="0" borderId="0" xfId="0" applyNumberFormat="1" applyFont="1" applyFill="1" applyBorder="1" applyAlignment="1">
      <alignment horizontal="right" vertical="center" wrapText="1"/>
    </xf>
    <xf numFmtId="176" fontId="22" fillId="0" borderId="0" xfId="0" applyNumberFormat="1" applyFont="1" applyFill="1" applyBorder="1" applyAlignment="1">
      <alignment horizontal="right" vertical="center" wrapText="1"/>
    </xf>
    <xf numFmtId="0" fontId="21" fillId="0" borderId="0" xfId="0" applyFont="1" applyFill="1" applyBorder="1" applyAlignment="1">
      <alignment vertical="center"/>
    </xf>
    <xf numFmtId="0" fontId="26" fillId="0" borderId="0" xfId="0" applyFont="1" applyFill="1" applyAlignment="1">
      <alignment horizontal="center" vertical="center" wrapText="1"/>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29" fillId="0" borderId="0" xfId="0" applyFont="1" applyFill="1" applyAlignment="1">
      <alignment horizontal="left" wrapText="1"/>
    </xf>
    <xf numFmtId="0" fontId="29" fillId="0" borderId="0" xfId="0" applyFont="1" applyFill="1" applyAlignment="1">
      <alignment wrapText="1"/>
    </xf>
    <xf numFmtId="176" fontId="29" fillId="0" borderId="8" xfId="0" applyNumberFormat="1" applyFont="1" applyFill="1" applyBorder="1" applyAlignment="1">
      <alignment horizontal="left" wrapText="1"/>
    </xf>
    <xf numFmtId="0" fontId="29" fillId="0" borderId="0" xfId="0" applyFont="1" applyFill="1" applyBorder="1" applyAlignment="1">
      <alignment horizontal="right" wrapText="1"/>
    </xf>
    <xf numFmtId="180" fontId="29" fillId="0" borderId="0" xfId="0" applyNumberFormat="1" applyFont="1" applyFill="1" applyBorder="1" applyAlignment="1">
      <alignment wrapText="1"/>
    </xf>
    <xf numFmtId="180" fontId="29" fillId="0" borderId="8" xfId="0" applyNumberFormat="1" applyFont="1" applyFill="1" applyBorder="1" applyAlignment="1">
      <alignment horizontal="left" wrapText="1"/>
    </xf>
    <xf numFmtId="0" fontId="29" fillId="0" borderId="0" xfId="0" applyFont="1" applyFill="1" applyBorder="1" applyAlignment="1">
      <alignment wrapText="1"/>
    </xf>
    <xf numFmtId="0" fontId="29" fillId="0" borderId="0" xfId="0" applyFont="1" applyFill="1" applyBorder="1" applyAlignment="1">
      <alignment horizontal="center" wrapText="1"/>
    </xf>
    <xf numFmtId="0" fontId="29" fillId="0" borderId="0" xfId="0" applyFont="1" applyFill="1" applyBorder="1" applyAlignment="1">
      <alignment horizontal="left" wrapText="1"/>
    </xf>
    <xf numFmtId="0" fontId="29" fillId="0" borderId="0" xfId="0" applyFont="1" applyFill="1" applyBorder="1" applyAlignment="1">
      <alignment horizontal="center" vertical="center" wrapText="1"/>
    </xf>
    <xf numFmtId="0" fontId="29" fillId="0" borderId="8" xfId="0" applyFont="1" applyFill="1" applyBorder="1" applyAlignment="1">
      <alignment horizontal="left" wrapText="1"/>
    </xf>
    <xf numFmtId="0" fontId="29" fillId="0" borderId="0" xfId="0" applyFont="1" applyFill="1" applyBorder="1" applyAlignment="1">
      <alignment horizontal="right" vertical="center" wrapText="1"/>
    </xf>
    <xf numFmtId="0" fontId="12"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1"/>
  <sheetViews>
    <sheetView tabSelected="1" workbookViewId="0">
      <selection activeCell="C434" sqref="C434"/>
    </sheetView>
  </sheetViews>
  <sheetFormatPr defaultColWidth="9" defaultRowHeight="13.5"/>
  <cols>
    <col min="1" max="1" width="5.625" style="47" customWidth="1"/>
    <col min="2" max="2" width="13.0833333333333" style="40" customWidth="1"/>
    <col min="3" max="3" width="35" style="40" customWidth="1"/>
    <col min="4" max="4" width="5.16666666666667" style="47" customWidth="1"/>
    <col min="5" max="5" width="14.125" style="48" customWidth="1"/>
    <col min="6" max="6" width="8.5" style="47" customWidth="1"/>
    <col min="7" max="7" width="11.7583333333333" style="40" customWidth="1"/>
    <col min="8" max="8" width="28.5" style="40" customWidth="1"/>
    <col min="9" max="9" width="9" style="40" customWidth="1"/>
    <col min="10" max="16376" width="9" style="40"/>
  </cols>
  <sheetData>
    <row r="1" s="40" customFormat="1" ht="80" customHeight="1" spans="1:8">
      <c r="A1" s="51" t="s">
        <v>0</v>
      </c>
      <c r="B1" s="52"/>
      <c r="C1" s="52"/>
      <c r="D1" s="52"/>
      <c r="E1" s="53"/>
      <c r="F1" s="52"/>
      <c r="G1" s="52"/>
      <c r="H1" s="52"/>
    </row>
    <row r="2" s="41" customFormat="1" ht="43" customHeight="1" spans="1:9">
      <c r="A2" s="54" t="s">
        <v>1</v>
      </c>
      <c r="B2" s="54" t="s">
        <v>2</v>
      </c>
      <c r="C2" s="54" t="s">
        <v>3</v>
      </c>
      <c r="D2" s="54" t="s">
        <v>4</v>
      </c>
      <c r="E2" s="55" t="s">
        <v>5</v>
      </c>
      <c r="F2" s="56" t="s">
        <v>6</v>
      </c>
      <c r="G2" s="54" t="s">
        <v>7</v>
      </c>
      <c r="H2" s="56" t="s">
        <v>8</v>
      </c>
      <c r="I2" s="130"/>
    </row>
    <row r="3" s="42" customFormat="1" ht="18" customHeight="1" spans="1:9">
      <c r="A3" s="57" t="s">
        <v>9</v>
      </c>
      <c r="B3" s="58" t="s">
        <v>10</v>
      </c>
      <c r="C3" s="59"/>
      <c r="D3" s="60"/>
      <c r="E3" s="61"/>
      <c r="F3" s="62"/>
      <c r="G3" s="63">
        <f>SUM(G4:G117)</f>
        <v>0</v>
      </c>
      <c r="H3" s="64"/>
      <c r="I3" s="77"/>
    </row>
    <row r="4" s="43" customFormat="1" ht="18" customHeight="1" spans="1:9">
      <c r="A4" s="57"/>
      <c r="B4" s="65" t="s">
        <v>11</v>
      </c>
      <c r="C4" s="30"/>
      <c r="D4" s="32"/>
      <c r="E4" s="32"/>
      <c r="F4" s="66"/>
      <c r="G4" s="67"/>
      <c r="H4" s="68"/>
      <c r="I4" s="78"/>
    </row>
    <row r="5" s="42" customFormat="1" ht="112.5" spans="1:9">
      <c r="A5" s="57">
        <v>1</v>
      </c>
      <c r="B5" s="30" t="s">
        <v>12</v>
      </c>
      <c r="C5" s="30" t="s">
        <v>13</v>
      </c>
      <c r="D5" s="32" t="s">
        <v>14</v>
      </c>
      <c r="E5" s="69">
        <v>4.18</v>
      </c>
      <c r="F5" s="70"/>
      <c r="G5" s="70">
        <f t="shared" ref="G5:G20" si="0">F5*E5</f>
        <v>0</v>
      </c>
      <c r="H5" s="68" t="s">
        <v>15</v>
      </c>
      <c r="I5" s="79">
        <f>311.95+180</f>
        <v>491.95</v>
      </c>
    </row>
    <row r="6" s="43" customFormat="1" ht="78.75" spans="1:9">
      <c r="A6" s="57">
        <v>2</v>
      </c>
      <c r="B6" s="30" t="s">
        <v>16</v>
      </c>
      <c r="C6" s="30" t="s">
        <v>17</v>
      </c>
      <c r="D6" s="32" t="s">
        <v>14</v>
      </c>
      <c r="E6" s="69">
        <v>15.85</v>
      </c>
      <c r="F6" s="70"/>
      <c r="G6" s="70">
        <f t="shared" si="0"/>
        <v>0</v>
      </c>
      <c r="H6" s="68" t="s">
        <v>15</v>
      </c>
      <c r="I6" s="79">
        <f>50</f>
        <v>50</v>
      </c>
    </row>
    <row r="7" s="43" customFormat="1" ht="16" customHeight="1" spans="1:9">
      <c r="A7" s="57"/>
      <c r="B7" s="65" t="s">
        <v>18</v>
      </c>
      <c r="C7" s="71"/>
      <c r="D7" s="72"/>
      <c r="E7" s="73"/>
      <c r="F7" s="70"/>
      <c r="G7" s="70"/>
      <c r="H7" s="68"/>
      <c r="I7" s="80"/>
    </row>
    <row r="8" s="43" customFormat="1" ht="67.5" spans="1:9">
      <c r="A8" s="57">
        <v>1</v>
      </c>
      <c r="B8" s="30" t="s">
        <v>19</v>
      </c>
      <c r="C8" s="30" t="s">
        <v>20</v>
      </c>
      <c r="D8" s="32" t="s">
        <v>21</v>
      </c>
      <c r="E8" s="69">
        <v>227.64</v>
      </c>
      <c r="F8" s="70"/>
      <c r="G8" s="70">
        <f t="shared" si="0"/>
        <v>0</v>
      </c>
      <c r="H8" s="68" t="s">
        <v>15</v>
      </c>
      <c r="I8" s="79">
        <v>60</v>
      </c>
    </row>
    <row r="9" s="43" customFormat="1" ht="67.5" spans="1:9">
      <c r="A9" s="57">
        <v>2</v>
      </c>
      <c r="B9" s="30" t="s">
        <v>22</v>
      </c>
      <c r="C9" s="30" t="s">
        <v>20</v>
      </c>
      <c r="D9" s="32" t="s">
        <v>21</v>
      </c>
      <c r="E9" s="69">
        <v>333.96</v>
      </c>
      <c r="F9" s="70"/>
      <c r="G9" s="70">
        <f t="shared" si="0"/>
        <v>0</v>
      </c>
      <c r="H9" s="68" t="s">
        <v>15</v>
      </c>
      <c r="I9" s="79">
        <v>60</v>
      </c>
    </row>
    <row r="10" s="43" customFormat="1" ht="56.25" spans="1:9">
      <c r="A10" s="57">
        <v>3</v>
      </c>
      <c r="B10" s="30" t="s">
        <v>23</v>
      </c>
      <c r="C10" s="30" t="s">
        <v>24</v>
      </c>
      <c r="D10" s="32" t="s">
        <v>21</v>
      </c>
      <c r="E10" s="69">
        <v>47.96</v>
      </c>
      <c r="F10" s="70"/>
      <c r="G10" s="70">
        <f t="shared" si="0"/>
        <v>0</v>
      </c>
      <c r="H10" s="68" t="s">
        <v>15</v>
      </c>
      <c r="I10" s="79">
        <v>68</v>
      </c>
    </row>
    <row r="11" s="43" customFormat="1" ht="123.75" spans="1:9">
      <c r="A11" s="57">
        <v>4</v>
      </c>
      <c r="B11" s="30" t="s">
        <v>25</v>
      </c>
      <c r="C11" s="30" t="s">
        <v>26</v>
      </c>
      <c r="D11" s="32" t="s">
        <v>21</v>
      </c>
      <c r="E11" s="69">
        <v>107.52</v>
      </c>
      <c r="F11" s="70"/>
      <c r="G11" s="70">
        <f t="shared" si="0"/>
        <v>0</v>
      </c>
      <c r="H11" s="68" t="s">
        <v>15</v>
      </c>
      <c r="I11" s="79">
        <f>130+5+20+20*2+35*2+25</f>
        <v>290</v>
      </c>
    </row>
    <row r="12" s="42" customFormat="1" ht="112.5" spans="1:9">
      <c r="A12" s="57">
        <v>5</v>
      </c>
      <c r="B12" s="30" t="s">
        <v>27</v>
      </c>
      <c r="C12" s="30" t="s">
        <v>28</v>
      </c>
      <c r="D12" s="32" t="s">
        <v>21</v>
      </c>
      <c r="E12" s="69">
        <v>63.36</v>
      </c>
      <c r="F12" s="70"/>
      <c r="G12" s="70">
        <f t="shared" si="0"/>
        <v>0</v>
      </c>
      <c r="H12" s="68" t="s">
        <v>15</v>
      </c>
      <c r="I12" s="79">
        <v>265</v>
      </c>
    </row>
    <row r="13" s="43" customFormat="1" ht="112.5" spans="1:9">
      <c r="A13" s="57">
        <v>6</v>
      </c>
      <c r="B13" s="30" t="s">
        <v>29</v>
      </c>
      <c r="C13" s="30" t="s">
        <v>30</v>
      </c>
      <c r="D13" s="32" t="s">
        <v>21</v>
      </c>
      <c r="E13" s="69">
        <v>25.92</v>
      </c>
      <c r="F13" s="70"/>
      <c r="G13" s="70">
        <f t="shared" si="0"/>
        <v>0</v>
      </c>
      <c r="H13" s="68" t="s">
        <v>15</v>
      </c>
      <c r="I13" s="79">
        <v>280</v>
      </c>
    </row>
    <row r="14" s="43" customFormat="1" ht="112.5" spans="1:9">
      <c r="A14" s="57">
        <v>7</v>
      </c>
      <c r="B14" s="30" t="s">
        <v>31</v>
      </c>
      <c r="C14" s="30" t="s">
        <v>32</v>
      </c>
      <c r="D14" s="32" t="s">
        <v>21</v>
      </c>
      <c r="E14" s="69">
        <v>1</v>
      </c>
      <c r="F14" s="70"/>
      <c r="G14" s="70">
        <f t="shared" si="0"/>
        <v>0</v>
      </c>
      <c r="H14" s="68" t="s">
        <v>15</v>
      </c>
      <c r="I14" s="79">
        <v>280</v>
      </c>
    </row>
    <row r="15" s="43" customFormat="1" ht="90" spans="1:9">
      <c r="A15" s="57">
        <v>8</v>
      </c>
      <c r="B15" s="30" t="s">
        <v>33</v>
      </c>
      <c r="C15" s="30" t="s">
        <v>34</v>
      </c>
      <c r="D15" s="32" t="s">
        <v>21</v>
      </c>
      <c r="E15" s="69">
        <v>156.1</v>
      </c>
      <c r="F15" s="70"/>
      <c r="G15" s="70">
        <f t="shared" si="0"/>
        <v>0</v>
      </c>
      <c r="H15" s="68" t="s">
        <v>15</v>
      </c>
      <c r="I15" s="79">
        <v>130</v>
      </c>
    </row>
    <row r="16" s="43" customFormat="1" ht="101.25" spans="1:9">
      <c r="A16" s="57">
        <v>9</v>
      </c>
      <c r="B16" s="30" t="s">
        <v>35</v>
      </c>
      <c r="C16" s="30" t="s">
        <v>36</v>
      </c>
      <c r="D16" s="32" t="s">
        <v>21</v>
      </c>
      <c r="E16" s="69">
        <v>8.74</v>
      </c>
      <c r="F16" s="70"/>
      <c r="G16" s="70">
        <f t="shared" si="0"/>
        <v>0</v>
      </c>
      <c r="H16" s="68" t="s">
        <v>15</v>
      </c>
      <c r="I16" s="79">
        <v>130</v>
      </c>
    </row>
    <row r="17" s="43" customFormat="1" ht="135" spans="1:9">
      <c r="A17" s="57">
        <v>10</v>
      </c>
      <c r="B17" s="30" t="s">
        <v>37</v>
      </c>
      <c r="C17" s="30" t="s">
        <v>38</v>
      </c>
      <c r="D17" s="32" t="s">
        <v>39</v>
      </c>
      <c r="E17" s="69">
        <v>30</v>
      </c>
      <c r="F17" s="70"/>
      <c r="G17" s="70">
        <f t="shared" si="0"/>
        <v>0</v>
      </c>
      <c r="H17" s="68" t="s">
        <v>15</v>
      </c>
      <c r="I17" s="79">
        <v>280</v>
      </c>
    </row>
    <row r="18" s="43" customFormat="1" ht="101.25" spans="1:9">
      <c r="A18" s="57">
        <v>11</v>
      </c>
      <c r="B18" s="30" t="s">
        <v>40</v>
      </c>
      <c r="C18" s="30" t="s">
        <v>41</v>
      </c>
      <c r="D18" s="32" t="s">
        <v>42</v>
      </c>
      <c r="E18" s="69">
        <v>876.17</v>
      </c>
      <c r="F18" s="70"/>
      <c r="G18" s="70">
        <f t="shared" si="0"/>
        <v>0</v>
      </c>
      <c r="H18" s="68" t="s">
        <v>15</v>
      </c>
      <c r="I18" s="79">
        <v>45</v>
      </c>
    </row>
    <row r="19" s="42" customFormat="1" ht="112.5" spans="1:9">
      <c r="A19" s="57">
        <v>12</v>
      </c>
      <c r="B19" s="30" t="s">
        <v>43</v>
      </c>
      <c r="C19" s="30" t="s">
        <v>44</v>
      </c>
      <c r="D19" s="32" t="s">
        <v>42</v>
      </c>
      <c r="E19" s="69">
        <v>39.34</v>
      </c>
      <c r="F19" s="70"/>
      <c r="G19" s="70">
        <f t="shared" si="0"/>
        <v>0</v>
      </c>
      <c r="H19" s="68" t="s">
        <v>15</v>
      </c>
      <c r="I19" s="79">
        <v>45</v>
      </c>
    </row>
    <row r="20" s="43" customFormat="1" ht="67.5" spans="1:9">
      <c r="A20" s="57">
        <v>13</v>
      </c>
      <c r="B20" s="30" t="s">
        <v>45</v>
      </c>
      <c r="C20" s="30" t="s">
        <v>46</v>
      </c>
      <c r="D20" s="32" t="s">
        <v>21</v>
      </c>
      <c r="E20" s="74">
        <v>1</v>
      </c>
      <c r="F20" s="70"/>
      <c r="G20" s="70">
        <f t="shared" si="0"/>
        <v>0</v>
      </c>
      <c r="H20" s="68" t="s">
        <v>15</v>
      </c>
      <c r="I20" s="79">
        <v>80</v>
      </c>
    </row>
    <row r="21" s="43" customFormat="1" ht="18" customHeight="1" spans="1:9">
      <c r="A21" s="57"/>
      <c r="B21" s="65" t="s">
        <v>47</v>
      </c>
      <c r="C21" s="59"/>
      <c r="D21" s="72"/>
      <c r="E21" s="73"/>
      <c r="F21" s="70"/>
      <c r="G21" s="70"/>
      <c r="H21" s="68"/>
      <c r="I21" s="80"/>
    </row>
    <row r="22" s="43" customFormat="1" ht="101.25" spans="1:9">
      <c r="A22" s="57">
        <v>1</v>
      </c>
      <c r="B22" s="30" t="s">
        <v>48</v>
      </c>
      <c r="C22" s="30" t="s">
        <v>49</v>
      </c>
      <c r="D22" s="32" t="s">
        <v>21</v>
      </c>
      <c r="E22" s="69">
        <v>439.38</v>
      </c>
      <c r="F22" s="70"/>
      <c r="G22" s="70">
        <f t="shared" ref="G22:G25" si="1">F22*E22</f>
        <v>0</v>
      </c>
      <c r="H22" s="68" t="s">
        <v>15</v>
      </c>
      <c r="I22" s="79">
        <v>18.5</v>
      </c>
    </row>
    <row r="23" s="43" customFormat="1" ht="101.25" spans="1:9">
      <c r="A23" s="57">
        <v>2</v>
      </c>
      <c r="B23" s="30" t="s">
        <v>50</v>
      </c>
      <c r="C23" s="30" t="s">
        <v>51</v>
      </c>
      <c r="D23" s="32" t="s">
        <v>21</v>
      </c>
      <c r="E23" s="69">
        <v>703.54</v>
      </c>
      <c r="F23" s="70"/>
      <c r="G23" s="70">
        <f t="shared" si="1"/>
        <v>0</v>
      </c>
      <c r="H23" s="68" t="s">
        <v>15</v>
      </c>
      <c r="I23" s="79">
        <v>18.5</v>
      </c>
    </row>
    <row r="24" s="43" customFormat="1" ht="123.75" spans="1:9">
      <c r="A24" s="57">
        <v>3</v>
      </c>
      <c r="B24" s="30" t="s">
        <v>52</v>
      </c>
      <c r="C24" s="30" t="s">
        <v>53</v>
      </c>
      <c r="D24" s="32" t="s">
        <v>42</v>
      </c>
      <c r="E24" s="69">
        <v>42.34</v>
      </c>
      <c r="F24" s="70"/>
      <c r="G24" s="70">
        <f t="shared" si="1"/>
        <v>0</v>
      </c>
      <c r="H24" s="68" t="s">
        <v>15</v>
      </c>
      <c r="I24" s="79">
        <v>35</v>
      </c>
    </row>
    <row r="25" s="43" customFormat="1" ht="135" spans="1:9">
      <c r="A25" s="75">
        <v>4</v>
      </c>
      <c r="B25" s="30" t="s">
        <v>54</v>
      </c>
      <c r="C25" s="30" t="s">
        <v>55</v>
      </c>
      <c r="D25" s="32" t="s">
        <v>42</v>
      </c>
      <c r="E25" s="69">
        <v>23.54</v>
      </c>
      <c r="F25" s="70"/>
      <c r="G25" s="70">
        <f t="shared" si="1"/>
        <v>0</v>
      </c>
      <c r="H25" s="68" t="s">
        <v>15</v>
      </c>
      <c r="I25" s="79">
        <v>60</v>
      </c>
    </row>
    <row r="26" s="42" customFormat="1" ht="20" customHeight="1" spans="1:9">
      <c r="A26" s="57"/>
      <c r="B26" s="65" t="s">
        <v>56</v>
      </c>
      <c r="C26" s="59"/>
      <c r="D26" s="72"/>
      <c r="E26" s="73"/>
      <c r="F26" s="70"/>
      <c r="G26" s="70"/>
      <c r="H26" s="68"/>
      <c r="I26" s="80"/>
    </row>
    <row r="27" s="43" customFormat="1" ht="90" spans="1:9">
      <c r="A27" s="57">
        <v>1</v>
      </c>
      <c r="B27" s="30" t="s">
        <v>57</v>
      </c>
      <c r="C27" s="30" t="s">
        <v>58</v>
      </c>
      <c r="D27" s="32" t="s">
        <v>21</v>
      </c>
      <c r="E27" s="69">
        <v>283.67</v>
      </c>
      <c r="F27" s="70"/>
      <c r="G27" s="70">
        <f t="shared" ref="G27:G50" si="2">F27*E27</f>
        <v>0</v>
      </c>
      <c r="H27" s="68" t="s">
        <v>15</v>
      </c>
      <c r="I27" s="79">
        <v>15</v>
      </c>
    </row>
    <row r="28" s="43" customFormat="1" ht="90" spans="1:9">
      <c r="A28" s="57">
        <v>2</v>
      </c>
      <c r="B28" s="30" t="s">
        <v>59</v>
      </c>
      <c r="C28" s="30" t="s">
        <v>60</v>
      </c>
      <c r="D28" s="32" t="s">
        <v>21</v>
      </c>
      <c r="E28" s="69">
        <v>4820.23</v>
      </c>
      <c r="F28" s="70"/>
      <c r="G28" s="70">
        <f t="shared" si="2"/>
        <v>0</v>
      </c>
      <c r="H28" s="68" t="s">
        <v>15</v>
      </c>
      <c r="I28" s="79">
        <v>22.5</v>
      </c>
    </row>
    <row r="29" s="43" customFormat="1" ht="90" spans="1:9">
      <c r="A29" s="57">
        <v>3</v>
      </c>
      <c r="B29" s="30" t="s">
        <v>61</v>
      </c>
      <c r="C29" s="30" t="s">
        <v>62</v>
      </c>
      <c r="D29" s="32" t="s">
        <v>21</v>
      </c>
      <c r="E29" s="69">
        <v>41.82</v>
      </c>
      <c r="F29" s="70"/>
      <c r="G29" s="70">
        <f t="shared" si="2"/>
        <v>0</v>
      </c>
      <c r="H29" s="68" t="s">
        <v>15</v>
      </c>
      <c r="I29" s="79">
        <v>15</v>
      </c>
    </row>
    <row r="30" s="42" customFormat="1" ht="67.5" spans="1:9">
      <c r="A30" s="57">
        <v>4</v>
      </c>
      <c r="B30" s="30" t="s">
        <v>63</v>
      </c>
      <c r="C30" s="30" t="s">
        <v>64</v>
      </c>
      <c r="D30" s="32" t="s">
        <v>21</v>
      </c>
      <c r="E30" s="69">
        <v>3469.18</v>
      </c>
      <c r="F30" s="70"/>
      <c r="G30" s="70">
        <f t="shared" si="2"/>
        <v>0</v>
      </c>
      <c r="H30" s="68" t="s">
        <v>15</v>
      </c>
      <c r="I30" s="79">
        <v>30</v>
      </c>
    </row>
    <row r="31" s="43" customFormat="1" ht="135" spans="1:9">
      <c r="A31" s="57">
        <v>5</v>
      </c>
      <c r="B31" s="30" t="s">
        <v>65</v>
      </c>
      <c r="C31" s="30" t="s">
        <v>66</v>
      </c>
      <c r="D31" s="32" t="s">
        <v>21</v>
      </c>
      <c r="E31" s="69">
        <v>3554.01</v>
      </c>
      <c r="F31" s="70"/>
      <c r="G31" s="70">
        <f t="shared" si="2"/>
        <v>0</v>
      </c>
      <c r="H31" s="68" t="s">
        <v>15</v>
      </c>
      <c r="I31" s="79">
        <v>45</v>
      </c>
    </row>
    <row r="32" s="43" customFormat="1" ht="168.75" spans="1:9">
      <c r="A32" s="57">
        <v>6</v>
      </c>
      <c r="B32" s="30" t="s">
        <v>67</v>
      </c>
      <c r="C32" s="30" t="s">
        <v>68</v>
      </c>
      <c r="D32" s="32" t="s">
        <v>21</v>
      </c>
      <c r="E32" s="69">
        <v>283.67</v>
      </c>
      <c r="F32" s="70"/>
      <c r="G32" s="70">
        <f t="shared" si="2"/>
        <v>0</v>
      </c>
      <c r="H32" s="68" t="s">
        <v>15</v>
      </c>
      <c r="I32" s="79">
        <v>45</v>
      </c>
    </row>
    <row r="33" s="43" customFormat="1" ht="67.5" spans="1:9">
      <c r="A33" s="57">
        <v>7</v>
      </c>
      <c r="B33" s="30" t="s">
        <v>69</v>
      </c>
      <c r="C33" s="30" t="s">
        <v>70</v>
      </c>
      <c r="D33" s="32" t="s">
        <v>21</v>
      </c>
      <c r="E33" s="69">
        <v>129.7</v>
      </c>
      <c r="F33" s="70"/>
      <c r="G33" s="70">
        <f t="shared" si="2"/>
        <v>0</v>
      </c>
      <c r="H33" s="68" t="s">
        <v>15</v>
      </c>
      <c r="I33" s="79">
        <v>30</v>
      </c>
    </row>
    <row r="34" s="43" customFormat="1" ht="168.75" spans="1:9">
      <c r="A34" s="57">
        <v>8</v>
      </c>
      <c r="B34" s="30" t="s">
        <v>71</v>
      </c>
      <c r="C34" s="30" t="s">
        <v>72</v>
      </c>
      <c r="D34" s="32" t="s">
        <v>21</v>
      </c>
      <c r="E34" s="69">
        <v>1</v>
      </c>
      <c r="F34" s="70"/>
      <c r="G34" s="70">
        <f t="shared" si="2"/>
        <v>0</v>
      </c>
      <c r="H34" s="68" t="s">
        <v>15</v>
      </c>
      <c r="I34" s="79">
        <v>45</v>
      </c>
    </row>
    <row r="35" s="43" customFormat="1" ht="168.75" spans="1:9">
      <c r="A35" s="57">
        <v>9</v>
      </c>
      <c r="B35" s="30" t="s">
        <v>73</v>
      </c>
      <c r="C35" s="30" t="s">
        <v>72</v>
      </c>
      <c r="D35" s="32" t="s">
        <v>21</v>
      </c>
      <c r="E35" s="69">
        <v>1008.66</v>
      </c>
      <c r="F35" s="70"/>
      <c r="G35" s="70">
        <f t="shared" si="2"/>
        <v>0</v>
      </c>
      <c r="H35" s="68" t="s">
        <v>15</v>
      </c>
      <c r="I35" s="79">
        <v>45</v>
      </c>
    </row>
    <row r="36" s="43" customFormat="1" ht="168.75" spans="1:9">
      <c r="A36" s="57">
        <v>10</v>
      </c>
      <c r="B36" s="30" t="s">
        <v>74</v>
      </c>
      <c r="C36" s="30" t="s">
        <v>75</v>
      </c>
      <c r="D36" s="32" t="s">
        <v>21</v>
      </c>
      <c r="E36" s="69">
        <v>1</v>
      </c>
      <c r="F36" s="70"/>
      <c r="G36" s="70">
        <f t="shared" si="2"/>
        <v>0</v>
      </c>
      <c r="H36" s="68" t="s">
        <v>15</v>
      </c>
      <c r="I36" s="79">
        <v>55</v>
      </c>
    </row>
    <row r="37" s="43" customFormat="1" ht="168.75" spans="1:9">
      <c r="A37" s="57">
        <v>11</v>
      </c>
      <c r="B37" s="30" t="s">
        <v>76</v>
      </c>
      <c r="C37" s="30" t="s">
        <v>77</v>
      </c>
      <c r="D37" s="32" t="s">
        <v>21</v>
      </c>
      <c r="E37" s="69">
        <v>359.97</v>
      </c>
      <c r="F37" s="70"/>
      <c r="G37" s="70">
        <f t="shared" si="2"/>
        <v>0</v>
      </c>
      <c r="H37" s="68" t="s">
        <v>15</v>
      </c>
      <c r="I37" s="79">
        <v>30</v>
      </c>
    </row>
    <row r="38" s="42" customFormat="1" ht="168.75" spans="1:9">
      <c r="A38" s="57">
        <v>12</v>
      </c>
      <c r="B38" s="30" t="s">
        <v>78</v>
      </c>
      <c r="C38" s="30" t="s">
        <v>77</v>
      </c>
      <c r="D38" s="32" t="s">
        <v>21</v>
      </c>
      <c r="E38" s="69">
        <v>2648.97</v>
      </c>
      <c r="F38" s="70"/>
      <c r="G38" s="70">
        <f t="shared" si="2"/>
        <v>0</v>
      </c>
      <c r="H38" s="68" t="s">
        <v>15</v>
      </c>
      <c r="I38" s="79">
        <v>30</v>
      </c>
    </row>
    <row r="39" s="43" customFormat="1" ht="101.25" spans="1:9">
      <c r="A39" s="57">
        <v>13</v>
      </c>
      <c r="B39" s="30" t="s">
        <v>79</v>
      </c>
      <c r="C39" s="30" t="s">
        <v>80</v>
      </c>
      <c r="D39" s="32" t="s">
        <v>21</v>
      </c>
      <c r="E39" s="69">
        <v>1</v>
      </c>
      <c r="F39" s="70"/>
      <c r="G39" s="70">
        <f t="shared" si="2"/>
        <v>0</v>
      </c>
      <c r="H39" s="68" t="s">
        <v>15</v>
      </c>
      <c r="I39" s="79">
        <v>35</v>
      </c>
    </row>
    <row r="40" s="43" customFormat="1" ht="146.25" spans="1:9">
      <c r="A40" s="57">
        <v>14</v>
      </c>
      <c r="B40" s="30" t="s">
        <v>81</v>
      </c>
      <c r="C40" s="30" t="s">
        <v>82</v>
      </c>
      <c r="D40" s="32" t="s">
        <v>42</v>
      </c>
      <c r="E40" s="69">
        <v>518.04</v>
      </c>
      <c r="F40" s="70"/>
      <c r="G40" s="70">
        <f t="shared" si="2"/>
        <v>0</v>
      </c>
      <c r="H40" s="68" t="s">
        <v>15</v>
      </c>
      <c r="I40" s="79">
        <v>8</v>
      </c>
    </row>
    <row r="41" s="43" customFormat="1" ht="123.75" spans="1:9">
      <c r="A41" s="57">
        <v>15</v>
      </c>
      <c r="B41" s="30" t="s">
        <v>83</v>
      </c>
      <c r="C41" s="30" t="s">
        <v>84</v>
      </c>
      <c r="D41" s="32" t="s">
        <v>42</v>
      </c>
      <c r="E41" s="69">
        <v>4164.3</v>
      </c>
      <c r="F41" s="70"/>
      <c r="G41" s="70">
        <f t="shared" si="2"/>
        <v>0</v>
      </c>
      <c r="H41" s="68" t="s">
        <v>15</v>
      </c>
      <c r="I41" s="79">
        <v>15</v>
      </c>
    </row>
    <row r="42" s="43" customFormat="1" ht="180" spans="1:9">
      <c r="A42" s="57">
        <v>16</v>
      </c>
      <c r="B42" s="30" t="s">
        <v>85</v>
      </c>
      <c r="C42" s="30" t="s">
        <v>86</v>
      </c>
      <c r="D42" s="32" t="s">
        <v>21</v>
      </c>
      <c r="E42" s="69">
        <v>101.24</v>
      </c>
      <c r="F42" s="70"/>
      <c r="G42" s="70">
        <f t="shared" si="2"/>
        <v>0</v>
      </c>
      <c r="H42" s="68" t="s">
        <v>15</v>
      </c>
      <c r="I42" s="79">
        <v>110</v>
      </c>
    </row>
    <row r="43" s="43" customFormat="1" ht="123.75" spans="1:9">
      <c r="A43" s="57">
        <v>17</v>
      </c>
      <c r="B43" s="30" t="s">
        <v>87</v>
      </c>
      <c r="C43" s="30" t="s">
        <v>88</v>
      </c>
      <c r="D43" s="32" t="s">
        <v>21</v>
      </c>
      <c r="E43" s="69">
        <v>36.63</v>
      </c>
      <c r="F43" s="70"/>
      <c r="G43" s="70">
        <f t="shared" si="2"/>
        <v>0</v>
      </c>
      <c r="H43" s="68" t="s">
        <v>15</v>
      </c>
      <c r="I43" s="79">
        <v>55</v>
      </c>
    </row>
    <row r="44" s="42" customFormat="1" ht="168.75" spans="1:9">
      <c r="A44" s="57">
        <v>18</v>
      </c>
      <c r="B44" s="30" t="s">
        <v>89</v>
      </c>
      <c r="C44" s="30" t="s">
        <v>90</v>
      </c>
      <c r="D44" s="32" t="s">
        <v>21</v>
      </c>
      <c r="E44" s="69">
        <v>6.49</v>
      </c>
      <c r="F44" s="70"/>
      <c r="G44" s="70">
        <f t="shared" si="2"/>
        <v>0</v>
      </c>
      <c r="H44" s="68" t="s">
        <v>15</v>
      </c>
      <c r="I44" s="79">
        <v>90</v>
      </c>
    </row>
    <row r="45" s="43" customFormat="1" ht="191.25" spans="1:9">
      <c r="A45" s="57">
        <v>19</v>
      </c>
      <c r="B45" s="30" t="s">
        <v>91</v>
      </c>
      <c r="C45" s="30" t="s">
        <v>92</v>
      </c>
      <c r="D45" s="32" t="s">
        <v>21</v>
      </c>
      <c r="E45" s="69">
        <v>63.13</v>
      </c>
      <c r="F45" s="70"/>
      <c r="G45" s="70">
        <f t="shared" si="2"/>
        <v>0</v>
      </c>
      <c r="H45" s="68" t="s">
        <v>15</v>
      </c>
      <c r="I45" s="79">
        <v>90</v>
      </c>
    </row>
    <row r="46" s="43" customFormat="1" ht="202.5" spans="1:9">
      <c r="A46" s="57">
        <v>20</v>
      </c>
      <c r="B46" s="30" t="s">
        <v>93</v>
      </c>
      <c r="C46" s="30" t="s">
        <v>94</v>
      </c>
      <c r="D46" s="32" t="s">
        <v>21</v>
      </c>
      <c r="E46" s="69">
        <v>9.5</v>
      </c>
      <c r="F46" s="70"/>
      <c r="G46" s="70">
        <f t="shared" si="2"/>
        <v>0</v>
      </c>
      <c r="H46" s="68" t="s">
        <v>15</v>
      </c>
      <c r="I46" s="79">
        <v>100</v>
      </c>
    </row>
    <row r="47" s="43" customFormat="1" ht="146.25" spans="1:9">
      <c r="A47" s="57">
        <v>21</v>
      </c>
      <c r="B47" s="30" t="s">
        <v>95</v>
      </c>
      <c r="C47" s="30" t="s">
        <v>96</v>
      </c>
      <c r="D47" s="32" t="s">
        <v>21</v>
      </c>
      <c r="E47" s="69">
        <v>11</v>
      </c>
      <c r="F47" s="70"/>
      <c r="G47" s="70">
        <f t="shared" si="2"/>
        <v>0</v>
      </c>
      <c r="H47" s="68" t="s">
        <v>15</v>
      </c>
      <c r="I47" s="79">
        <v>75</v>
      </c>
    </row>
    <row r="48" s="42" customFormat="1" ht="90" spans="1:9">
      <c r="A48" s="57">
        <v>22</v>
      </c>
      <c r="B48" s="30" t="s">
        <v>97</v>
      </c>
      <c r="C48" s="30" t="s">
        <v>98</v>
      </c>
      <c r="D48" s="32" t="s">
        <v>42</v>
      </c>
      <c r="E48" s="69">
        <v>23.54</v>
      </c>
      <c r="F48" s="70"/>
      <c r="G48" s="70">
        <f t="shared" si="2"/>
        <v>0</v>
      </c>
      <c r="H48" s="68" t="s">
        <v>15</v>
      </c>
      <c r="I48" s="79">
        <v>25</v>
      </c>
    </row>
    <row r="49" s="43" customFormat="1" ht="146.25" spans="1:9">
      <c r="A49" s="57">
        <v>23</v>
      </c>
      <c r="B49" s="30" t="s">
        <v>99</v>
      </c>
      <c r="C49" s="30" t="s">
        <v>100</v>
      </c>
      <c r="D49" s="32" t="s">
        <v>42</v>
      </c>
      <c r="E49" s="69">
        <v>349.01</v>
      </c>
      <c r="F49" s="70"/>
      <c r="G49" s="70">
        <f t="shared" si="2"/>
        <v>0</v>
      </c>
      <c r="H49" s="68" t="s">
        <v>15</v>
      </c>
      <c r="I49" s="79">
        <v>160</v>
      </c>
    </row>
    <row r="50" s="43" customFormat="1" ht="67.5" spans="1:9">
      <c r="A50" s="57">
        <v>24</v>
      </c>
      <c r="B50" s="30" t="s">
        <v>101</v>
      </c>
      <c r="C50" s="30" t="s">
        <v>102</v>
      </c>
      <c r="D50" s="32" t="s">
        <v>21</v>
      </c>
      <c r="E50" s="32">
        <v>1</v>
      </c>
      <c r="F50" s="70"/>
      <c r="G50" s="70">
        <f t="shared" si="2"/>
        <v>0</v>
      </c>
      <c r="H50" s="68" t="s">
        <v>15</v>
      </c>
      <c r="I50" s="79">
        <v>37.5</v>
      </c>
    </row>
    <row r="51" s="43" customFormat="1" ht="29" customHeight="1" spans="1:9">
      <c r="A51" s="57"/>
      <c r="B51" s="65" t="s">
        <v>103</v>
      </c>
      <c r="C51" s="59"/>
      <c r="D51" s="72"/>
      <c r="E51" s="73"/>
      <c r="F51" s="70"/>
      <c r="G51" s="70"/>
      <c r="H51" s="68"/>
      <c r="I51" s="80"/>
    </row>
    <row r="52" s="42" customFormat="1" ht="101.25" spans="1:9">
      <c r="A52" s="57">
        <v>1</v>
      </c>
      <c r="B52" s="30" t="s">
        <v>104</v>
      </c>
      <c r="C52" s="30" t="s">
        <v>105</v>
      </c>
      <c r="D52" s="32" t="s">
        <v>21</v>
      </c>
      <c r="E52" s="69">
        <v>644.72</v>
      </c>
      <c r="F52" s="70"/>
      <c r="G52" s="70">
        <f t="shared" ref="G52:G73" si="3">F52*E52</f>
        <v>0</v>
      </c>
      <c r="H52" s="68" t="s">
        <v>15</v>
      </c>
      <c r="I52" s="79">
        <v>15</v>
      </c>
    </row>
    <row r="53" s="43" customFormat="1" ht="135" spans="1:9">
      <c r="A53" s="57">
        <v>2</v>
      </c>
      <c r="B53" s="30" t="s">
        <v>106</v>
      </c>
      <c r="C53" s="30" t="s">
        <v>107</v>
      </c>
      <c r="D53" s="32" t="s">
        <v>21</v>
      </c>
      <c r="E53" s="69">
        <v>1532.81</v>
      </c>
      <c r="F53" s="70"/>
      <c r="G53" s="70">
        <f t="shared" si="3"/>
        <v>0</v>
      </c>
      <c r="H53" s="68" t="s">
        <v>15</v>
      </c>
      <c r="I53" s="79">
        <v>70</v>
      </c>
    </row>
    <row r="54" s="43" customFormat="1" ht="135" spans="1:9">
      <c r="A54" s="57">
        <v>3</v>
      </c>
      <c r="B54" s="30" t="s">
        <v>108</v>
      </c>
      <c r="C54" s="30" t="s">
        <v>109</v>
      </c>
      <c r="D54" s="32" t="s">
        <v>21</v>
      </c>
      <c r="E54" s="69">
        <v>1</v>
      </c>
      <c r="F54" s="70"/>
      <c r="G54" s="70">
        <f t="shared" si="3"/>
        <v>0</v>
      </c>
      <c r="H54" s="68" t="s">
        <v>15</v>
      </c>
      <c r="I54" s="79">
        <v>70</v>
      </c>
    </row>
    <row r="55" s="43" customFormat="1" ht="135" spans="1:9">
      <c r="A55" s="57">
        <v>4</v>
      </c>
      <c r="B55" s="30" t="s">
        <v>110</v>
      </c>
      <c r="C55" s="30" t="s">
        <v>111</v>
      </c>
      <c r="D55" s="32" t="s">
        <v>21</v>
      </c>
      <c r="E55" s="69">
        <v>1116.05</v>
      </c>
      <c r="F55" s="70"/>
      <c r="G55" s="70">
        <f t="shared" si="3"/>
        <v>0</v>
      </c>
      <c r="H55" s="68" t="s">
        <v>15</v>
      </c>
      <c r="I55" s="79">
        <v>80</v>
      </c>
    </row>
    <row r="56" s="43" customFormat="1" ht="123.75" spans="1:9">
      <c r="A56" s="57">
        <v>5</v>
      </c>
      <c r="B56" s="30" t="s">
        <v>112</v>
      </c>
      <c r="C56" s="30" t="s">
        <v>113</v>
      </c>
      <c r="D56" s="32" t="s">
        <v>21</v>
      </c>
      <c r="E56" s="69">
        <v>1</v>
      </c>
      <c r="F56" s="70"/>
      <c r="G56" s="70">
        <f t="shared" si="3"/>
        <v>0</v>
      </c>
      <c r="H56" s="68" t="s">
        <v>15</v>
      </c>
      <c r="I56" s="79">
        <v>90</v>
      </c>
    </row>
    <row r="57" s="43" customFormat="1" ht="123.75" spans="1:9">
      <c r="A57" s="57">
        <v>6</v>
      </c>
      <c r="B57" s="30" t="s">
        <v>114</v>
      </c>
      <c r="C57" s="30" t="s">
        <v>115</v>
      </c>
      <c r="D57" s="32" t="s">
        <v>21</v>
      </c>
      <c r="E57" s="69">
        <v>50.03</v>
      </c>
      <c r="F57" s="70"/>
      <c r="G57" s="70">
        <f t="shared" si="3"/>
        <v>0</v>
      </c>
      <c r="H57" s="68" t="s">
        <v>15</v>
      </c>
      <c r="I57" s="79">
        <v>110</v>
      </c>
    </row>
    <row r="58" s="43" customFormat="1" ht="157.5" spans="1:9">
      <c r="A58" s="57">
        <v>7</v>
      </c>
      <c r="B58" s="30" t="s">
        <v>116</v>
      </c>
      <c r="C58" s="30" t="s">
        <v>117</v>
      </c>
      <c r="D58" s="32" t="s">
        <v>21</v>
      </c>
      <c r="E58" s="69">
        <v>1</v>
      </c>
      <c r="F58" s="70"/>
      <c r="G58" s="70">
        <f t="shared" si="3"/>
        <v>0</v>
      </c>
      <c r="H58" s="68" t="s">
        <v>15</v>
      </c>
      <c r="I58" s="79">
        <v>135</v>
      </c>
    </row>
    <row r="59" s="43" customFormat="1" ht="101.25" spans="1:9">
      <c r="A59" s="57">
        <v>8</v>
      </c>
      <c r="B59" s="30" t="s">
        <v>118</v>
      </c>
      <c r="C59" s="30" t="s">
        <v>119</v>
      </c>
      <c r="D59" s="32" t="s">
        <v>21</v>
      </c>
      <c r="E59" s="69">
        <v>1</v>
      </c>
      <c r="F59" s="70"/>
      <c r="G59" s="70">
        <f t="shared" si="3"/>
        <v>0</v>
      </c>
      <c r="H59" s="68" t="s">
        <v>15</v>
      </c>
      <c r="I59" s="79">
        <v>110</v>
      </c>
    </row>
    <row r="60" s="43" customFormat="1" ht="135" spans="1:9">
      <c r="A60" s="57">
        <v>9</v>
      </c>
      <c r="B60" s="30" t="s">
        <v>120</v>
      </c>
      <c r="C60" s="30" t="s">
        <v>121</v>
      </c>
      <c r="D60" s="32" t="s">
        <v>21</v>
      </c>
      <c r="E60" s="69">
        <v>1</v>
      </c>
      <c r="F60" s="70"/>
      <c r="G60" s="70">
        <f t="shared" si="3"/>
        <v>0</v>
      </c>
      <c r="H60" s="68" t="s">
        <v>15</v>
      </c>
      <c r="I60" s="79">
        <v>110</v>
      </c>
    </row>
    <row r="61" s="43" customFormat="1" ht="157.5" spans="1:9">
      <c r="A61" s="57">
        <v>10</v>
      </c>
      <c r="B61" s="30" t="s">
        <v>122</v>
      </c>
      <c r="C61" s="30" t="s">
        <v>123</v>
      </c>
      <c r="D61" s="32" t="s">
        <v>21</v>
      </c>
      <c r="E61" s="69">
        <v>89.86</v>
      </c>
      <c r="F61" s="70"/>
      <c r="G61" s="70">
        <f t="shared" si="3"/>
        <v>0</v>
      </c>
      <c r="H61" s="68" t="s">
        <v>15</v>
      </c>
      <c r="I61" s="79">
        <v>110</v>
      </c>
    </row>
    <row r="62" s="43" customFormat="1" ht="168.75" spans="1:9">
      <c r="A62" s="57">
        <v>11</v>
      </c>
      <c r="B62" s="30" t="s">
        <v>124</v>
      </c>
      <c r="C62" s="30" t="s">
        <v>125</v>
      </c>
      <c r="D62" s="32" t="s">
        <v>21</v>
      </c>
      <c r="E62" s="69">
        <v>4530.71</v>
      </c>
      <c r="F62" s="70"/>
      <c r="G62" s="70">
        <f t="shared" si="3"/>
        <v>0</v>
      </c>
      <c r="H62" s="68" t="s">
        <v>15</v>
      </c>
      <c r="I62" s="79">
        <v>165</v>
      </c>
    </row>
    <row r="63" s="43" customFormat="1" ht="146.25" spans="1:9">
      <c r="A63" s="57">
        <v>12</v>
      </c>
      <c r="B63" s="30" t="s">
        <v>126</v>
      </c>
      <c r="C63" s="30" t="s">
        <v>127</v>
      </c>
      <c r="D63" s="32" t="s">
        <v>21</v>
      </c>
      <c r="E63" s="69">
        <v>322.36</v>
      </c>
      <c r="F63" s="70"/>
      <c r="G63" s="70">
        <f t="shared" si="3"/>
        <v>0</v>
      </c>
      <c r="H63" s="68" t="s">
        <v>15</v>
      </c>
      <c r="I63" s="79">
        <v>135</v>
      </c>
    </row>
    <row r="64" s="43" customFormat="1" ht="146.25" spans="1:9">
      <c r="A64" s="57">
        <v>13</v>
      </c>
      <c r="B64" s="30" t="s">
        <v>128</v>
      </c>
      <c r="C64" s="30" t="s">
        <v>129</v>
      </c>
      <c r="D64" s="32" t="s">
        <v>21</v>
      </c>
      <c r="E64" s="69">
        <v>2072.99</v>
      </c>
      <c r="F64" s="70"/>
      <c r="G64" s="70">
        <f t="shared" si="3"/>
        <v>0</v>
      </c>
      <c r="H64" s="68" t="s">
        <v>15</v>
      </c>
      <c r="I64" s="79">
        <v>110</v>
      </c>
    </row>
    <row r="65" s="43" customFormat="1" ht="123.75" spans="1:9">
      <c r="A65" s="57">
        <v>14</v>
      </c>
      <c r="B65" s="30" t="s">
        <v>130</v>
      </c>
      <c r="C65" s="30" t="s">
        <v>131</v>
      </c>
      <c r="D65" s="32" t="s">
        <v>21</v>
      </c>
      <c r="E65" s="69">
        <v>262.7</v>
      </c>
      <c r="F65" s="70"/>
      <c r="G65" s="70">
        <f t="shared" si="3"/>
        <v>0</v>
      </c>
      <c r="H65" s="68" t="s">
        <v>15</v>
      </c>
      <c r="I65" s="79">
        <v>110</v>
      </c>
    </row>
    <row r="66" s="43" customFormat="1" ht="101.25" spans="1:9">
      <c r="A66" s="57">
        <v>15</v>
      </c>
      <c r="B66" s="30" t="s">
        <v>132</v>
      </c>
      <c r="C66" s="30" t="s">
        <v>133</v>
      </c>
      <c r="D66" s="32" t="s">
        <v>21</v>
      </c>
      <c r="E66" s="69">
        <v>247.61</v>
      </c>
      <c r="F66" s="70"/>
      <c r="G66" s="70">
        <f t="shared" si="3"/>
        <v>0</v>
      </c>
      <c r="H66" s="68" t="s">
        <v>15</v>
      </c>
      <c r="I66" s="79">
        <v>80</v>
      </c>
    </row>
    <row r="67" s="43" customFormat="1" ht="123.75" spans="1:9">
      <c r="A67" s="57">
        <v>16</v>
      </c>
      <c r="B67" s="30" t="s">
        <v>134</v>
      </c>
      <c r="C67" s="30" t="s">
        <v>135</v>
      </c>
      <c r="D67" s="32" t="s">
        <v>21</v>
      </c>
      <c r="E67" s="69">
        <v>1</v>
      </c>
      <c r="F67" s="70"/>
      <c r="G67" s="70">
        <f t="shared" si="3"/>
        <v>0</v>
      </c>
      <c r="H67" s="68" t="s">
        <v>15</v>
      </c>
      <c r="I67" s="79">
        <v>130</v>
      </c>
    </row>
    <row r="68" s="43" customFormat="1" ht="123.75" spans="1:9">
      <c r="A68" s="57">
        <v>17</v>
      </c>
      <c r="B68" s="30" t="s">
        <v>136</v>
      </c>
      <c r="C68" s="30" t="s">
        <v>137</v>
      </c>
      <c r="D68" s="32" t="s">
        <v>21</v>
      </c>
      <c r="E68" s="69">
        <v>1.27</v>
      </c>
      <c r="F68" s="70"/>
      <c r="G68" s="70">
        <f t="shared" si="3"/>
        <v>0</v>
      </c>
      <c r="H68" s="68" t="s">
        <v>15</v>
      </c>
      <c r="I68" s="79">
        <v>130</v>
      </c>
    </row>
    <row r="69" s="43" customFormat="1" ht="123.75" spans="1:9">
      <c r="A69" s="57">
        <v>18</v>
      </c>
      <c r="B69" s="30" t="s">
        <v>138</v>
      </c>
      <c r="C69" s="30" t="s">
        <v>139</v>
      </c>
      <c r="D69" s="32" t="s">
        <v>21</v>
      </c>
      <c r="E69" s="69">
        <v>1</v>
      </c>
      <c r="F69" s="70"/>
      <c r="G69" s="70">
        <f t="shared" si="3"/>
        <v>0</v>
      </c>
      <c r="H69" s="68" t="s">
        <v>15</v>
      </c>
      <c r="I69" s="79">
        <v>130</v>
      </c>
    </row>
    <row r="70" s="43" customFormat="1" ht="157.5" spans="1:9">
      <c r="A70" s="57">
        <v>19</v>
      </c>
      <c r="B70" s="30" t="s">
        <v>140</v>
      </c>
      <c r="C70" s="30" t="s">
        <v>141</v>
      </c>
      <c r="D70" s="32" t="s">
        <v>21</v>
      </c>
      <c r="E70" s="69">
        <v>1</v>
      </c>
      <c r="F70" s="70"/>
      <c r="G70" s="70">
        <f t="shared" si="3"/>
        <v>0</v>
      </c>
      <c r="H70" s="68" t="s">
        <v>15</v>
      </c>
      <c r="I70" s="79">
        <v>160</v>
      </c>
    </row>
    <row r="71" s="43" customFormat="1" ht="67.5" spans="1:9">
      <c r="A71" s="57">
        <v>20</v>
      </c>
      <c r="B71" s="30" t="s">
        <v>142</v>
      </c>
      <c r="C71" s="30" t="s">
        <v>143</v>
      </c>
      <c r="D71" s="32" t="s">
        <v>21</v>
      </c>
      <c r="E71" s="69">
        <v>1</v>
      </c>
      <c r="F71" s="70"/>
      <c r="G71" s="70">
        <f t="shared" si="3"/>
        <v>0</v>
      </c>
      <c r="H71" s="68" t="s">
        <v>15</v>
      </c>
      <c r="I71" s="79">
        <v>30</v>
      </c>
    </row>
    <row r="72" s="43" customFormat="1" ht="112.5" spans="1:9">
      <c r="A72" s="57">
        <v>21</v>
      </c>
      <c r="B72" s="30" t="s">
        <v>144</v>
      </c>
      <c r="C72" s="30" t="s">
        <v>145</v>
      </c>
      <c r="D72" s="32" t="s">
        <v>14</v>
      </c>
      <c r="E72" s="69">
        <v>1</v>
      </c>
      <c r="F72" s="70"/>
      <c r="G72" s="70">
        <f t="shared" si="3"/>
        <v>0</v>
      </c>
      <c r="H72" s="68" t="s">
        <v>15</v>
      </c>
      <c r="I72" s="79">
        <v>491.95</v>
      </c>
    </row>
    <row r="73" s="43" customFormat="1" ht="90" spans="1:9">
      <c r="A73" s="57">
        <v>22</v>
      </c>
      <c r="B73" s="30" t="s">
        <v>146</v>
      </c>
      <c r="C73" s="30" t="s">
        <v>147</v>
      </c>
      <c r="D73" s="32" t="s">
        <v>21</v>
      </c>
      <c r="E73" s="69">
        <v>1</v>
      </c>
      <c r="F73" s="70"/>
      <c r="G73" s="70">
        <f t="shared" si="3"/>
        <v>0</v>
      </c>
      <c r="H73" s="68" t="s">
        <v>15</v>
      </c>
      <c r="I73" s="79">
        <v>18.5</v>
      </c>
    </row>
    <row r="74" s="43" customFormat="1" ht="20" customHeight="1" spans="1:9">
      <c r="A74" s="57"/>
      <c r="B74" s="65" t="s">
        <v>148</v>
      </c>
      <c r="C74" s="59"/>
      <c r="D74" s="72"/>
      <c r="E74" s="73"/>
      <c r="F74" s="70"/>
      <c r="G74" s="70"/>
      <c r="H74" s="68"/>
      <c r="I74" s="80"/>
    </row>
    <row r="75" s="43" customFormat="1" ht="135" spans="1:9">
      <c r="A75" s="57">
        <v>1</v>
      </c>
      <c r="B75" s="30" t="s">
        <v>149</v>
      </c>
      <c r="C75" s="30" t="s">
        <v>150</v>
      </c>
      <c r="D75" s="32" t="s">
        <v>21</v>
      </c>
      <c r="E75" s="69">
        <v>131.85</v>
      </c>
      <c r="F75" s="70"/>
      <c r="G75" s="70">
        <f t="shared" ref="G75:G98" si="4">F75*E75</f>
        <v>0</v>
      </c>
      <c r="H75" s="68" t="s">
        <v>15</v>
      </c>
      <c r="I75" s="79">
        <v>50</v>
      </c>
    </row>
    <row r="76" s="43" customFormat="1" ht="146.25" spans="1:9">
      <c r="A76" s="57">
        <v>2</v>
      </c>
      <c r="B76" s="30" t="s">
        <v>151</v>
      </c>
      <c r="C76" s="30" t="s">
        <v>152</v>
      </c>
      <c r="D76" s="32" t="s">
        <v>21</v>
      </c>
      <c r="E76" s="69">
        <v>4925.48</v>
      </c>
      <c r="F76" s="70"/>
      <c r="G76" s="70">
        <f t="shared" si="4"/>
        <v>0</v>
      </c>
      <c r="H76" s="68" t="s">
        <v>15</v>
      </c>
      <c r="I76" s="79">
        <v>60</v>
      </c>
    </row>
    <row r="77" s="43" customFormat="1" ht="168.75" spans="1:9">
      <c r="A77" s="57">
        <v>3</v>
      </c>
      <c r="B77" s="30" t="s">
        <v>153</v>
      </c>
      <c r="C77" s="30" t="s">
        <v>154</v>
      </c>
      <c r="D77" s="32" t="s">
        <v>21</v>
      </c>
      <c r="E77" s="69">
        <v>325.94</v>
      </c>
      <c r="F77" s="70"/>
      <c r="G77" s="70">
        <f t="shared" si="4"/>
        <v>0</v>
      </c>
      <c r="H77" s="68" t="s">
        <v>15</v>
      </c>
      <c r="I77" s="79">
        <v>50</v>
      </c>
    </row>
    <row r="78" s="43" customFormat="1" ht="123.75" spans="1:9">
      <c r="A78" s="57">
        <v>4</v>
      </c>
      <c r="B78" s="30" t="s">
        <v>155</v>
      </c>
      <c r="C78" s="30" t="s">
        <v>156</v>
      </c>
      <c r="D78" s="32" t="s">
        <v>21</v>
      </c>
      <c r="E78" s="69">
        <v>4964.95</v>
      </c>
      <c r="F78" s="70"/>
      <c r="G78" s="70">
        <f t="shared" si="4"/>
        <v>0</v>
      </c>
      <c r="H78" s="68" t="s">
        <v>15</v>
      </c>
      <c r="I78" s="79">
        <v>30</v>
      </c>
    </row>
    <row r="79" s="43" customFormat="1" ht="157.5" spans="1:9">
      <c r="A79" s="57">
        <v>5</v>
      </c>
      <c r="B79" s="30" t="s">
        <v>157</v>
      </c>
      <c r="C79" s="30" t="s">
        <v>158</v>
      </c>
      <c r="D79" s="32" t="s">
        <v>21</v>
      </c>
      <c r="E79" s="69">
        <v>493.43</v>
      </c>
      <c r="F79" s="70"/>
      <c r="G79" s="70">
        <f t="shared" si="4"/>
        <v>0</v>
      </c>
      <c r="H79" s="68" t="s">
        <v>15</v>
      </c>
      <c r="I79" s="79">
        <v>25</v>
      </c>
    </row>
    <row r="80" s="43" customFormat="1" ht="146.25" spans="1:9">
      <c r="A80" s="57">
        <v>6</v>
      </c>
      <c r="B80" s="30" t="s">
        <v>159</v>
      </c>
      <c r="C80" s="30" t="s">
        <v>160</v>
      </c>
      <c r="D80" s="32" t="s">
        <v>21</v>
      </c>
      <c r="E80" s="69">
        <v>1</v>
      </c>
      <c r="F80" s="70"/>
      <c r="G80" s="70">
        <f t="shared" si="4"/>
        <v>0</v>
      </c>
      <c r="H80" s="68" t="s">
        <v>15</v>
      </c>
      <c r="I80" s="79">
        <v>25</v>
      </c>
    </row>
    <row r="81" s="43" customFormat="1" ht="168.75" spans="1:9">
      <c r="A81" s="57">
        <v>7</v>
      </c>
      <c r="B81" s="30" t="s">
        <v>161</v>
      </c>
      <c r="C81" s="30" t="s">
        <v>162</v>
      </c>
      <c r="D81" s="32" t="s">
        <v>21</v>
      </c>
      <c r="E81" s="69">
        <v>483.57</v>
      </c>
      <c r="F81" s="70"/>
      <c r="G81" s="70">
        <f t="shared" si="4"/>
        <v>0</v>
      </c>
      <c r="H81" s="68" t="s">
        <v>15</v>
      </c>
      <c r="I81" s="79">
        <v>35</v>
      </c>
    </row>
    <row r="82" s="43" customFormat="1" ht="202.5" spans="1:9">
      <c r="A82" s="57">
        <v>8</v>
      </c>
      <c r="B82" s="30" t="s">
        <v>163</v>
      </c>
      <c r="C82" s="30" t="s">
        <v>164</v>
      </c>
      <c r="D82" s="32" t="s">
        <v>21</v>
      </c>
      <c r="E82" s="69">
        <v>337.85</v>
      </c>
      <c r="F82" s="70"/>
      <c r="G82" s="70">
        <f t="shared" si="4"/>
        <v>0</v>
      </c>
      <c r="H82" s="68" t="s">
        <v>15</v>
      </c>
      <c r="I82" s="79">
        <v>100</v>
      </c>
    </row>
    <row r="83" s="43" customFormat="1" ht="191.25" spans="1:9">
      <c r="A83" s="57">
        <v>9</v>
      </c>
      <c r="B83" s="30" t="s">
        <v>165</v>
      </c>
      <c r="C83" s="30" t="s">
        <v>166</v>
      </c>
      <c r="D83" s="32" t="s">
        <v>21</v>
      </c>
      <c r="E83" s="69">
        <v>56.78</v>
      </c>
      <c r="F83" s="70"/>
      <c r="G83" s="70">
        <f t="shared" si="4"/>
        <v>0</v>
      </c>
      <c r="H83" s="68" t="s">
        <v>15</v>
      </c>
      <c r="I83" s="79">
        <v>130</v>
      </c>
    </row>
    <row r="84" s="43" customFormat="1" ht="157.5" spans="1:9">
      <c r="A84" s="57">
        <v>10</v>
      </c>
      <c r="B84" s="30" t="s">
        <v>167</v>
      </c>
      <c r="C84" s="30" t="s">
        <v>168</v>
      </c>
      <c r="D84" s="32" t="s">
        <v>21</v>
      </c>
      <c r="E84" s="69">
        <v>30.44</v>
      </c>
      <c r="F84" s="70"/>
      <c r="G84" s="70">
        <f t="shared" si="4"/>
        <v>0</v>
      </c>
      <c r="H84" s="68" t="s">
        <v>15</v>
      </c>
      <c r="I84" s="79">
        <v>160</v>
      </c>
    </row>
    <row r="85" s="43" customFormat="1" ht="78.75" spans="1:9">
      <c r="A85" s="57">
        <v>11</v>
      </c>
      <c r="B85" s="30" t="s">
        <v>169</v>
      </c>
      <c r="C85" s="30" t="s">
        <v>170</v>
      </c>
      <c r="D85" s="32" t="s">
        <v>171</v>
      </c>
      <c r="E85" s="69">
        <v>20.1</v>
      </c>
      <c r="F85" s="70"/>
      <c r="G85" s="70">
        <f t="shared" si="4"/>
        <v>0</v>
      </c>
      <c r="H85" s="68" t="s">
        <v>15</v>
      </c>
      <c r="I85" s="79">
        <v>4500</v>
      </c>
    </row>
    <row r="86" s="43" customFormat="1" ht="112.5" spans="1:9">
      <c r="A86" s="57">
        <v>12</v>
      </c>
      <c r="B86" s="30" t="s">
        <v>172</v>
      </c>
      <c r="C86" s="30" t="s">
        <v>173</v>
      </c>
      <c r="D86" s="32" t="s">
        <v>174</v>
      </c>
      <c r="E86" s="69">
        <v>80</v>
      </c>
      <c r="F86" s="70"/>
      <c r="G86" s="70">
        <f t="shared" si="4"/>
        <v>0</v>
      </c>
      <c r="H86" s="68" t="s">
        <v>15</v>
      </c>
      <c r="I86" s="79">
        <v>40</v>
      </c>
    </row>
    <row r="87" s="43" customFormat="1" ht="67.5" spans="1:9">
      <c r="A87" s="57">
        <v>13</v>
      </c>
      <c r="B87" s="30" t="s">
        <v>175</v>
      </c>
      <c r="C87" s="30" t="s">
        <v>176</v>
      </c>
      <c r="D87" s="32" t="s">
        <v>42</v>
      </c>
      <c r="E87" s="69">
        <v>620.27</v>
      </c>
      <c r="F87" s="70"/>
      <c r="G87" s="70">
        <f t="shared" si="4"/>
        <v>0</v>
      </c>
      <c r="H87" s="68" t="s">
        <v>15</v>
      </c>
      <c r="I87" s="79">
        <v>20</v>
      </c>
    </row>
    <row r="88" s="43" customFormat="1" ht="67.5" spans="1:9">
      <c r="A88" s="57">
        <v>14</v>
      </c>
      <c r="B88" s="30" t="s">
        <v>177</v>
      </c>
      <c r="C88" s="30" t="s">
        <v>178</v>
      </c>
      <c r="D88" s="32" t="s">
        <v>42</v>
      </c>
      <c r="E88" s="69">
        <v>14.13</v>
      </c>
      <c r="F88" s="70"/>
      <c r="G88" s="70">
        <f t="shared" si="4"/>
        <v>0</v>
      </c>
      <c r="H88" s="68" t="s">
        <v>15</v>
      </c>
      <c r="I88" s="79">
        <v>20</v>
      </c>
    </row>
    <row r="89" s="43" customFormat="1" ht="67.5" spans="1:9">
      <c r="A89" s="57">
        <v>15</v>
      </c>
      <c r="B89" s="30" t="s">
        <v>179</v>
      </c>
      <c r="C89" s="30" t="s">
        <v>180</v>
      </c>
      <c r="D89" s="32" t="s">
        <v>42</v>
      </c>
      <c r="E89" s="69">
        <v>52.27</v>
      </c>
      <c r="F89" s="70"/>
      <c r="G89" s="70">
        <f t="shared" si="4"/>
        <v>0</v>
      </c>
      <c r="H89" s="68" t="s">
        <v>15</v>
      </c>
      <c r="I89" s="79">
        <v>20</v>
      </c>
    </row>
    <row r="90" s="43" customFormat="1" ht="67.5" spans="1:9">
      <c r="A90" s="57">
        <v>16</v>
      </c>
      <c r="B90" s="30" t="s">
        <v>181</v>
      </c>
      <c r="C90" s="30" t="s">
        <v>182</v>
      </c>
      <c r="D90" s="32" t="s">
        <v>42</v>
      </c>
      <c r="E90" s="69">
        <v>295.9</v>
      </c>
      <c r="F90" s="70"/>
      <c r="G90" s="70">
        <f t="shared" si="4"/>
        <v>0</v>
      </c>
      <c r="H90" s="68" t="s">
        <v>15</v>
      </c>
      <c r="I90" s="79">
        <v>20</v>
      </c>
    </row>
    <row r="91" s="43" customFormat="1" ht="67.5" spans="1:9">
      <c r="A91" s="57">
        <v>17</v>
      </c>
      <c r="B91" s="30" t="s">
        <v>183</v>
      </c>
      <c r="C91" s="30" t="s">
        <v>184</v>
      </c>
      <c r="D91" s="32" t="s">
        <v>42</v>
      </c>
      <c r="E91" s="69">
        <v>355.92</v>
      </c>
      <c r="F91" s="70"/>
      <c r="G91" s="70">
        <f t="shared" si="4"/>
        <v>0</v>
      </c>
      <c r="H91" s="68" t="s">
        <v>15</v>
      </c>
      <c r="I91" s="79">
        <v>20</v>
      </c>
    </row>
    <row r="92" s="43" customFormat="1" ht="67.5" spans="1:9">
      <c r="A92" s="57">
        <v>18</v>
      </c>
      <c r="B92" s="30" t="s">
        <v>185</v>
      </c>
      <c r="C92" s="30" t="s">
        <v>186</v>
      </c>
      <c r="D92" s="32" t="s">
        <v>42</v>
      </c>
      <c r="E92" s="69">
        <v>13.8</v>
      </c>
      <c r="F92" s="70"/>
      <c r="G92" s="70">
        <f t="shared" si="4"/>
        <v>0</v>
      </c>
      <c r="H92" s="68" t="s">
        <v>15</v>
      </c>
      <c r="I92" s="79">
        <v>20</v>
      </c>
    </row>
    <row r="93" s="44" customFormat="1" ht="67.5" spans="1:9">
      <c r="A93" s="57">
        <v>19</v>
      </c>
      <c r="B93" s="30" t="s">
        <v>187</v>
      </c>
      <c r="C93" s="30" t="s">
        <v>188</v>
      </c>
      <c r="D93" s="32" t="s">
        <v>42</v>
      </c>
      <c r="E93" s="69">
        <v>56.78</v>
      </c>
      <c r="F93" s="70"/>
      <c r="G93" s="70">
        <f t="shared" si="4"/>
        <v>0</v>
      </c>
      <c r="H93" s="68" t="s">
        <v>15</v>
      </c>
      <c r="I93" s="79">
        <v>10</v>
      </c>
    </row>
    <row r="94" s="43" customFormat="1" ht="67.5" spans="1:9">
      <c r="A94" s="57">
        <v>20</v>
      </c>
      <c r="B94" s="30" t="s">
        <v>189</v>
      </c>
      <c r="C94" s="30" t="s">
        <v>190</v>
      </c>
      <c r="D94" s="32" t="s">
        <v>42</v>
      </c>
      <c r="E94" s="69">
        <v>47.52</v>
      </c>
      <c r="F94" s="70"/>
      <c r="G94" s="70">
        <f t="shared" si="4"/>
        <v>0</v>
      </c>
      <c r="H94" s="68" t="s">
        <v>15</v>
      </c>
      <c r="I94" s="79">
        <v>10</v>
      </c>
    </row>
    <row r="95" s="43" customFormat="1" ht="78.75" spans="1:9">
      <c r="A95" s="57">
        <v>21</v>
      </c>
      <c r="B95" s="30" t="s">
        <v>191</v>
      </c>
      <c r="C95" s="30" t="s">
        <v>192</v>
      </c>
      <c r="D95" s="32" t="s">
        <v>42</v>
      </c>
      <c r="E95" s="69">
        <v>47.52</v>
      </c>
      <c r="F95" s="70"/>
      <c r="G95" s="70">
        <f t="shared" si="4"/>
        <v>0</v>
      </c>
      <c r="H95" s="68" t="s">
        <v>15</v>
      </c>
      <c r="I95" s="79">
        <v>10</v>
      </c>
    </row>
    <row r="96" s="43" customFormat="1" ht="112.5" spans="1:9">
      <c r="A96" s="57">
        <v>22</v>
      </c>
      <c r="B96" s="30" t="s">
        <v>193</v>
      </c>
      <c r="C96" s="30" t="s">
        <v>194</v>
      </c>
      <c r="D96" s="32" t="s">
        <v>21</v>
      </c>
      <c r="E96" s="69">
        <v>40.01</v>
      </c>
      <c r="F96" s="70"/>
      <c r="G96" s="70">
        <f t="shared" si="4"/>
        <v>0</v>
      </c>
      <c r="H96" s="68" t="s">
        <v>15</v>
      </c>
      <c r="I96" s="79">
        <v>130</v>
      </c>
    </row>
    <row r="97" s="43" customFormat="1" ht="45" spans="1:9">
      <c r="A97" s="57">
        <v>23</v>
      </c>
      <c r="B97" s="30" t="s">
        <v>195</v>
      </c>
      <c r="C97" s="30" t="s">
        <v>196</v>
      </c>
      <c r="D97" s="32" t="s">
        <v>174</v>
      </c>
      <c r="E97" s="69">
        <f>60+400</f>
        <v>460</v>
      </c>
      <c r="F97" s="70"/>
      <c r="G97" s="70">
        <f t="shared" si="4"/>
        <v>0</v>
      </c>
      <c r="H97" s="68" t="s">
        <v>15</v>
      </c>
      <c r="I97" s="79">
        <v>10</v>
      </c>
    </row>
    <row r="98" s="43" customFormat="1" ht="45" spans="1:9">
      <c r="A98" s="57">
        <v>24</v>
      </c>
      <c r="B98" s="30" t="s">
        <v>197</v>
      </c>
      <c r="C98" s="30" t="s">
        <v>196</v>
      </c>
      <c r="D98" s="32" t="s">
        <v>174</v>
      </c>
      <c r="E98" s="69">
        <f>150+600</f>
        <v>750</v>
      </c>
      <c r="F98" s="70"/>
      <c r="G98" s="70">
        <f t="shared" si="4"/>
        <v>0</v>
      </c>
      <c r="H98" s="68" t="s">
        <v>15</v>
      </c>
      <c r="I98" s="79">
        <v>5</v>
      </c>
    </row>
    <row r="99" s="43" customFormat="1" ht="33" customHeight="1" spans="1:9">
      <c r="A99" s="57"/>
      <c r="B99" s="65" t="s">
        <v>198</v>
      </c>
      <c r="C99" s="59"/>
      <c r="D99" s="72"/>
      <c r="E99" s="73"/>
      <c r="F99" s="70"/>
      <c r="G99" s="70"/>
      <c r="H99" s="68"/>
      <c r="I99" s="80"/>
    </row>
    <row r="100" s="43" customFormat="1" ht="112.5" spans="1:9">
      <c r="A100" s="57">
        <v>1</v>
      </c>
      <c r="B100" s="30" t="s">
        <v>199</v>
      </c>
      <c r="C100" s="30" t="s">
        <v>200</v>
      </c>
      <c r="D100" s="32" t="s">
        <v>21</v>
      </c>
      <c r="E100" s="69">
        <f>7100.84-E101</f>
        <v>5282.83</v>
      </c>
      <c r="F100" s="70"/>
      <c r="G100" s="70">
        <f t="shared" ref="G100:G107" si="5">F100*E100</f>
        <v>0</v>
      </c>
      <c r="H100" s="68" t="s">
        <v>15</v>
      </c>
      <c r="I100" s="79">
        <v>25</v>
      </c>
    </row>
    <row r="101" s="43" customFormat="1" ht="112.5" spans="1:9">
      <c r="A101" s="57">
        <v>2</v>
      </c>
      <c r="B101" s="30" t="s">
        <v>201</v>
      </c>
      <c r="C101" s="30" t="s">
        <v>200</v>
      </c>
      <c r="D101" s="32" t="s">
        <v>21</v>
      </c>
      <c r="E101" s="32">
        <v>1818.01</v>
      </c>
      <c r="F101" s="70"/>
      <c r="G101" s="70">
        <f t="shared" si="5"/>
        <v>0</v>
      </c>
      <c r="H101" s="68" t="s">
        <v>15</v>
      </c>
      <c r="I101" s="79">
        <v>25</v>
      </c>
    </row>
    <row r="102" s="43" customFormat="1" ht="112.5" spans="1:9">
      <c r="A102" s="57">
        <v>3</v>
      </c>
      <c r="B102" s="30" t="s">
        <v>202</v>
      </c>
      <c r="C102" s="30" t="s">
        <v>203</v>
      </c>
      <c r="D102" s="32" t="s">
        <v>21</v>
      </c>
      <c r="E102" s="69">
        <v>419.46</v>
      </c>
      <c r="F102" s="70"/>
      <c r="G102" s="70">
        <f t="shared" si="5"/>
        <v>0</v>
      </c>
      <c r="H102" s="68" t="s">
        <v>15</v>
      </c>
      <c r="I102" s="79">
        <v>25</v>
      </c>
    </row>
    <row r="103" s="43" customFormat="1" ht="112.5" spans="1:9">
      <c r="A103" s="57">
        <v>4</v>
      </c>
      <c r="B103" s="30" t="s">
        <v>204</v>
      </c>
      <c r="C103" s="30" t="s">
        <v>205</v>
      </c>
      <c r="D103" s="32" t="s">
        <v>21</v>
      </c>
      <c r="E103" s="69">
        <v>11211.81</v>
      </c>
      <c r="F103" s="70"/>
      <c r="G103" s="70">
        <f t="shared" si="5"/>
        <v>0</v>
      </c>
      <c r="H103" s="68" t="s">
        <v>15</v>
      </c>
      <c r="I103" s="79">
        <v>25</v>
      </c>
    </row>
    <row r="104" s="43" customFormat="1" ht="112.5" spans="1:9">
      <c r="A104" s="57">
        <v>5</v>
      </c>
      <c r="B104" s="30" t="s">
        <v>206</v>
      </c>
      <c r="C104" s="30" t="s">
        <v>207</v>
      </c>
      <c r="D104" s="32" t="s">
        <v>21</v>
      </c>
      <c r="E104" s="69">
        <v>162.75</v>
      </c>
      <c r="F104" s="70"/>
      <c r="G104" s="70">
        <f t="shared" si="5"/>
        <v>0</v>
      </c>
      <c r="H104" s="68" t="s">
        <v>15</v>
      </c>
      <c r="I104" s="79">
        <v>25</v>
      </c>
    </row>
    <row r="105" s="43" customFormat="1" ht="101.25" spans="1:9">
      <c r="A105" s="57">
        <v>6</v>
      </c>
      <c r="B105" s="30" t="s">
        <v>208</v>
      </c>
      <c r="C105" s="30" t="s">
        <v>209</v>
      </c>
      <c r="D105" s="32" t="s">
        <v>21</v>
      </c>
      <c r="E105" s="69">
        <v>145.42</v>
      </c>
      <c r="F105" s="70"/>
      <c r="G105" s="70">
        <f t="shared" si="5"/>
        <v>0</v>
      </c>
      <c r="H105" s="68" t="s">
        <v>15</v>
      </c>
      <c r="I105" s="79">
        <v>25</v>
      </c>
    </row>
    <row r="106" s="43" customFormat="1" ht="101.25" spans="1:9">
      <c r="A106" s="57">
        <v>7</v>
      </c>
      <c r="B106" s="30" t="s">
        <v>210</v>
      </c>
      <c r="C106" s="30" t="s">
        <v>211</v>
      </c>
      <c r="D106" s="32" t="s">
        <v>21</v>
      </c>
      <c r="E106" s="69">
        <v>2704.58</v>
      </c>
      <c r="F106" s="70"/>
      <c r="G106" s="70">
        <f t="shared" si="5"/>
        <v>0</v>
      </c>
      <c r="H106" s="68" t="s">
        <v>15</v>
      </c>
      <c r="I106" s="79">
        <v>25</v>
      </c>
    </row>
    <row r="107" s="43" customFormat="1" ht="101.25" spans="1:9">
      <c r="A107" s="57">
        <v>8</v>
      </c>
      <c r="B107" s="30" t="s">
        <v>212</v>
      </c>
      <c r="C107" s="30" t="s">
        <v>213</v>
      </c>
      <c r="D107" s="32" t="s">
        <v>21</v>
      </c>
      <c r="E107" s="69">
        <v>1</v>
      </c>
      <c r="F107" s="70"/>
      <c r="G107" s="70">
        <f t="shared" si="5"/>
        <v>0</v>
      </c>
      <c r="H107" s="68" t="s">
        <v>15</v>
      </c>
      <c r="I107" s="79">
        <v>15</v>
      </c>
    </row>
    <row r="108" s="43" customFormat="1" ht="18" customHeight="1" spans="1:9">
      <c r="A108" s="57"/>
      <c r="B108" s="65" t="s">
        <v>214</v>
      </c>
      <c r="C108" s="59"/>
      <c r="D108" s="72"/>
      <c r="E108" s="73"/>
      <c r="F108" s="70"/>
      <c r="G108" s="70"/>
      <c r="H108" s="68"/>
      <c r="I108" s="80"/>
    </row>
    <row r="109" s="43" customFormat="1" ht="56.25" spans="1:9">
      <c r="A109" s="57">
        <v>1</v>
      </c>
      <c r="B109" s="30" t="s">
        <v>215</v>
      </c>
      <c r="C109" s="30" t="s">
        <v>216</v>
      </c>
      <c r="D109" s="32" t="s">
        <v>42</v>
      </c>
      <c r="E109" s="69">
        <v>61.25</v>
      </c>
      <c r="F109" s="70"/>
      <c r="G109" s="70">
        <f t="shared" ref="G109:G117" si="6">F109*E109</f>
        <v>0</v>
      </c>
      <c r="H109" s="68" t="s">
        <v>15</v>
      </c>
      <c r="I109" s="79">
        <v>10</v>
      </c>
    </row>
    <row r="110" s="43" customFormat="1" ht="101.25" spans="1:9">
      <c r="A110" s="57">
        <v>2</v>
      </c>
      <c r="B110" s="30" t="s">
        <v>217</v>
      </c>
      <c r="C110" s="30" t="s">
        <v>218</v>
      </c>
      <c r="D110" s="32" t="s">
        <v>42</v>
      </c>
      <c r="E110" s="69">
        <v>41.83</v>
      </c>
      <c r="F110" s="70"/>
      <c r="G110" s="70">
        <f t="shared" si="6"/>
        <v>0</v>
      </c>
      <c r="H110" s="68" t="s">
        <v>15</v>
      </c>
      <c r="I110" s="79">
        <v>240</v>
      </c>
    </row>
    <row r="111" s="43" customFormat="1" ht="101.25" spans="1:9">
      <c r="A111" s="57">
        <v>3</v>
      </c>
      <c r="B111" s="30" t="s">
        <v>219</v>
      </c>
      <c r="C111" s="30" t="s">
        <v>220</v>
      </c>
      <c r="D111" s="32" t="s">
        <v>21</v>
      </c>
      <c r="E111" s="69">
        <v>50.2</v>
      </c>
      <c r="F111" s="70"/>
      <c r="G111" s="70">
        <f t="shared" si="6"/>
        <v>0</v>
      </c>
      <c r="H111" s="68" t="s">
        <v>15</v>
      </c>
      <c r="I111" s="79">
        <v>120</v>
      </c>
    </row>
    <row r="112" s="43" customFormat="1" ht="123.75" spans="1:9">
      <c r="A112" s="57">
        <v>4</v>
      </c>
      <c r="B112" s="30" t="s">
        <v>221</v>
      </c>
      <c r="C112" s="30" t="s">
        <v>222</v>
      </c>
      <c r="D112" s="32" t="s">
        <v>42</v>
      </c>
      <c r="E112" s="69">
        <v>25.2</v>
      </c>
      <c r="F112" s="70"/>
      <c r="G112" s="70">
        <f t="shared" si="6"/>
        <v>0</v>
      </c>
      <c r="H112" s="68" t="s">
        <v>15</v>
      </c>
      <c r="I112" s="79">
        <v>240</v>
      </c>
    </row>
    <row r="113" s="43" customFormat="1" ht="56.25" spans="1:9">
      <c r="A113" s="57">
        <v>5</v>
      </c>
      <c r="B113" s="30" t="s">
        <v>223</v>
      </c>
      <c r="C113" s="30" t="s">
        <v>224</v>
      </c>
      <c r="D113" s="32" t="s">
        <v>174</v>
      </c>
      <c r="E113" s="69">
        <v>1</v>
      </c>
      <c r="F113" s="70"/>
      <c r="G113" s="70">
        <f t="shared" si="6"/>
        <v>0</v>
      </c>
      <c r="H113" s="68" t="s">
        <v>15</v>
      </c>
      <c r="I113" s="79">
        <v>30</v>
      </c>
    </row>
    <row r="114" s="43" customFormat="1" ht="56.25" spans="1:9">
      <c r="A114" s="57">
        <v>6</v>
      </c>
      <c r="B114" s="30" t="s">
        <v>225</v>
      </c>
      <c r="C114" s="30" t="s">
        <v>226</v>
      </c>
      <c r="D114" s="32" t="s">
        <v>174</v>
      </c>
      <c r="E114" s="69">
        <v>1</v>
      </c>
      <c r="F114" s="70"/>
      <c r="G114" s="70">
        <f t="shared" si="6"/>
        <v>0</v>
      </c>
      <c r="H114" s="68" t="s">
        <v>15</v>
      </c>
      <c r="I114" s="79">
        <v>30</v>
      </c>
    </row>
    <row r="115" s="43" customFormat="1" ht="135" spans="1:9">
      <c r="A115" s="57">
        <v>7</v>
      </c>
      <c r="B115" s="30" t="s">
        <v>227</v>
      </c>
      <c r="C115" s="30" t="s">
        <v>228</v>
      </c>
      <c r="D115" s="32" t="s">
        <v>42</v>
      </c>
      <c r="E115" s="69">
        <v>47.52</v>
      </c>
      <c r="F115" s="70"/>
      <c r="G115" s="70">
        <f t="shared" si="6"/>
        <v>0</v>
      </c>
      <c r="H115" s="68" t="s">
        <v>15</v>
      </c>
      <c r="I115" s="79">
        <v>80</v>
      </c>
    </row>
    <row r="116" s="43" customFormat="1" ht="157.5" spans="1:9">
      <c r="A116" s="57">
        <v>8</v>
      </c>
      <c r="B116" s="30" t="s">
        <v>229</v>
      </c>
      <c r="C116" s="30" t="s">
        <v>230</v>
      </c>
      <c r="D116" s="32" t="s">
        <v>42</v>
      </c>
      <c r="E116" s="69">
        <v>1</v>
      </c>
      <c r="F116" s="70"/>
      <c r="G116" s="70">
        <f t="shared" si="6"/>
        <v>0</v>
      </c>
      <c r="H116" s="68" t="s">
        <v>15</v>
      </c>
      <c r="I116" s="79">
        <v>1500</v>
      </c>
    </row>
    <row r="117" s="43" customFormat="1" ht="123.75" spans="1:9">
      <c r="A117" s="57">
        <v>9</v>
      </c>
      <c r="B117" s="30" t="s">
        <v>231</v>
      </c>
      <c r="C117" s="30" t="s">
        <v>232</v>
      </c>
      <c r="D117" s="32" t="s">
        <v>42</v>
      </c>
      <c r="E117" s="69">
        <v>1</v>
      </c>
      <c r="F117" s="70"/>
      <c r="G117" s="70">
        <f t="shared" si="6"/>
        <v>0</v>
      </c>
      <c r="H117" s="68" t="s">
        <v>15</v>
      </c>
      <c r="I117" s="79">
        <v>80</v>
      </c>
    </row>
    <row r="118" s="42" customFormat="1" ht="20" customHeight="1" spans="1:9">
      <c r="A118" s="57" t="s">
        <v>233</v>
      </c>
      <c r="B118" s="58" t="s">
        <v>234</v>
      </c>
      <c r="C118" s="59"/>
      <c r="D118" s="65"/>
      <c r="E118" s="81"/>
      <c r="F118" s="70"/>
      <c r="G118" s="82">
        <f>SUM(G119:G224)</f>
        <v>0</v>
      </c>
      <c r="H118" s="64"/>
      <c r="I118" s="83"/>
    </row>
    <row r="119" s="43" customFormat="1" ht="20" customHeight="1" spans="1:9">
      <c r="A119" s="57"/>
      <c r="B119" s="65" t="s">
        <v>11</v>
      </c>
      <c r="C119" s="59"/>
      <c r="D119" s="72"/>
      <c r="E119" s="73"/>
      <c r="F119" s="70"/>
      <c r="G119" s="70"/>
      <c r="H119" s="68"/>
      <c r="I119" s="80"/>
    </row>
    <row r="120" s="43" customFormat="1" ht="112.5" spans="1:9">
      <c r="A120" s="57">
        <v>1</v>
      </c>
      <c r="B120" s="30" t="s">
        <v>12</v>
      </c>
      <c r="C120" s="30" t="s">
        <v>13</v>
      </c>
      <c r="D120" s="32" t="s">
        <v>14</v>
      </c>
      <c r="E120" s="32">
        <f>5.48-E5</f>
        <v>1.3</v>
      </c>
      <c r="F120" s="70"/>
      <c r="G120" s="70">
        <f t="shared" ref="G120:G133" si="7">F120*E120</f>
        <v>0</v>
      </c>
      <c r="H120" s="68" t="s">
        <v>15</v>
      </c>
      <c r="I120" s="79">
        <f>311.95+180</f>
        <v>491.95</v>
      </c>
    </row>
    <row r="121" s="43" customFormat="1" ht="78.75" spans="1:9">
      <c r="A121" s="57">
        <v>2</v>
      </c>
      <c r="B121" s="30" t="s">
        <v>16</v>
      </c>
      <c r="C121" s="30" t="s">
        <v>17</v>
      </c>
      <c r="D121" s="32" t="s">
        <v>14</v>
      </c>
      <c r="E121" s="32">
        <f>22.91-E6</f>
        <v>7.06</v>
      </c>
      <c r="F121" s="70"/>
      <c r="G121" s="70">
        <f t="shared" si="7"/>
        <v>0</v>
      </c>
      <c r="H121" s="68" t="s">
        <v>15</v>
      </c>
      <c r="I121" s="79">
        <f>50</f>
        <v>50</v>
      </c>
    </row>
    <row r="122" s="43" customFormat="1" ht="18" customHeight="1" spans="1:9">
      <c r="A122" s="57"/>
      <c r="B122" s="65" t="s">
        <v>18</v>
      </c>
      <c r="C122" s="59"/>
      <c r="D122" s="72"/>
      <c r="E122" s="73"/>
      <c r="F122" s="70"/>
      <c r="G122" s="70"/>
      <c r="H122" s="68"/>
      <c r="I122" s="79"/>
    </row>
    <row r="123" s="43" customFormat="1" ht="67.5" spans="1:9">
      <c r="A123" s="57">
        <v>1</v>
      </c>
      <c r="B123" s="30" t="s">
        <v>19</v>
      </c>
      <c r="C123" s="30" t="s">
        <v>20</v>
      </c>
      <c r="D123" s="32" t="s">
        <v>21</v>
      </c>
      <c r="E123" s="32">
        <f>345.6-E8</f>
        <v>117.96</v>
      </c>
      <c r="F123" s="70"/>
      <c r="G123" s="70">
        <f t="shared" si="7"/>
        <v>0</v>
      </c>
      <c r="H123" s="68" t="s">
        <v>15</v>
      </c>
      <c r="I123" s="79">
        <v>60</v>
      </c>
    </row>
    <row r="124" s="43" customFormat="1" ht="67.5" spans="1:9">
      <c r="A124" s="57">
        <v>2</v>
      </c>
      <c r="B124" s="30" t="s">
        <v>22</v>
      </c>
      <c r="C124" s="30" t="s">
        <v>20</v>
      </c>
      <c r="D124" s="32" t="s">
        <v>21</v>
      </c>
      <c r="E124" s="32">
        <f>446.88-E9</f>
        <v>112.92</v>
      </c>
      <c r="F124" s="70"/>
      <c r="G124" s="70">
        <f t="shared" si="7"/>
        <v>0</v>
      </c>
      <c r="H124" s="68" t="s">
        <v>15</v>
      </c>
      <c r="I124" s="79">
        <v>60</v>
      </c>
    </row>
    <row r="125" s="43" customFormat="1" ht="56.25" spans="1:9">
      <c r="A125" s="57">
        <v>3</v>
      </c>
      <c r="B125" s="30" t="s">
        <v>23</v>
      </c>
      <c r="C125" s="30" t="s">
        <v>24</v>
      </c>
      <c r="D125" s="32" t="s">
        <v>21</v>
      </c>
      <c r="E125" s="32">
        <f>70.46-E10</f>
        <v>22.5</v>
      </c>
      <c r="F125" s="70"/>
      <c r="G125" s="70">
        <f t="shared" si="7"/>
        <v>0</v>
      </c>
      <c r="H125" s="68" t="s">
        <v>15</v>
      </c>
      <c r="I125" s="79">
        <v>68</v>
      </c>
    </row>
    <row r="126" s="43" customFormat="1" ht="123.75" spans="1:9">
      <c r="A126" s="57">
        <v>4</v>
      </c>
      <c r="B126" s="30" t="s">
        <v>25</v>
      </c>
      <c r="C126" s="30" t="s">
        <v>26</v>
      </c>
      <c r="D126" s="32" t="s">
        <v>21</v>
      </c>
      <c r="E126" s="32">
        <f>136.32-E11</f>
        <v>28.8</v>
      </c>
      <c r="F126" s="70"/>
      <c r="G126" s="70">
        <f t="shared" si="7"/>
        <v>0</v>
      </c>
      <c r="H126" s="68" t="s">
        <v>15</v>
      </c>
      <c r="I126" s="79">
        <f>130+5+20+20*2+35*2+25</f>
        <v>290</v>
      </c>
    </row>
    <row r="127" s="43" customFormat="1" ht="112.5" spans="1:9">
      <c r="A127" s="57">
        <v>5</v>
      </c>
      <c r="B127" s="30" t="s">
        <v>27</v>
      </c>
      <c r="C127" s="30" t="s">
        <v>28</v>
      </c>
      <c r="D127" s="32" t="s">
        <v>21</v>
      </c>
      <c r="E127" s="32">
        <f>98.16-E12</f>
        <v>34.8</v>
      </c>
      <c r="F127" s="70"/>
      <c r="G127" s="70">
        <f t="shared" si="7"/>
        <v>0</v>
      </c>
      <c r="H127" s="68" t="s">
        <v>15</v>
      </c>
      <c r="I127" s="79">
        <v>265</v>
      </c>
    </row>
    <row r="128" s="43" customFormat="1" ht="112.5" spans="1:9">
      <c r="A128" s="57">
        <v>6</v>
      </c>
      <c r="B128" s="30" t="s">
        <v>29</v>
      </c>
      <c r="C128" s="30" t="s">
        <v>30</v>
      </c>
      <c r="D128" s="32" t="s">
        <v>21</v>
      </c>
      <c r="E128" s="32">
        <v>40.32</v>
      </c>
      <c r="F128" s="70"/>
      <c r="G128" s="70">
        <f t="shared" si="7"/>
        <v>0</v>
      </c>
      <c r="H128" s="68" t="s">
        <v>15</v>
      </c>
      <c r="I128" s="79">
        <v>280</v>
      </c>
    </row>
    <row r="129" s="43" customFormat="1" ht="112.5" spans="1:9">
      <c r="A129" s="57">
        <v>7</v>
      </c>
      <c r="B129" s="30" t="s">
        <v>31</v>
      </c>
      <c r="C129" s="30" t="s">
        <v>235</v>
      </c>
      <c r="D129" s="32" t="s">
        <v>21</v>
      </c>
      <c r="E129" s="32">
        <f>5.04-E14</f>
        <v>4.04</v>
      </c>
      <c r="F129" s="70"/>
      <c r="G129" s="70">
        <f t="shared" si="7"/>
        <v>0</v>
      </c>
      <c r="H129" s="68" t="s">
        <v>15</v>
      </c>
      <c r="I129" s="79">
        <v>280</v>
      </c>
    </row>
    <row r="130" s="43" customFormat="1" ht="101.25" spans="1:9">
      <c r="A130" s="57">
        <v>8</v>
      </c>
      <c r="B130" s="30" t="s">
        <v>35</v>
      </c>
      <c r="C130" s="30" t="s">
        <v>36</v>
      </c>
      <c r="D130" s="32" t="s">
        <v>21</v>
      </c>
      <c r="E130" s="32">
        <f>16.7-E16</f>
        <v>7.96</v>
      </c>
      <c r="F130" s="70"/>
      <c r="G130" s="70">
        <f t="shared" si="7"/>
        <v>0</v>
      </c>
      <c r="H130" s="68" t="s">
        <v>15</v>
      </c>
      <c r="I130" s="79">
        <v>130</v>
      </c>
    </row>
    <row r="131" s="43" customFormat="1" ht="135" spans="1:9">
      <c r="A131" s="57">
        <v>9</v>
      </c>
      <c r="B131" s="30" t="s">
        <v>37</v>
      </c>
      <c r="C131" s="30" t="s">
        <v>38</v>
      </c>
      <c r="D131" s="32" t="s">
        <v>39</v>
      </c>
      <c r="E131" s="32">
        <f>42-E17</f>
        <v>12</v>
      </c>
      <c r="F131" s="70"/>
      <c r="G131" s="70">
        <f t="shared" si="7"/>
        <v>0</v>
      </c>
      <c r="H131" s="68" t="s">
        <v>15</v>
      </c>
      <c r="I131" s="79">
        <v>280</v>
      </c>
    </row>
    <row r="132" s="43" customFormat="1" ht="101.25" spans="1:9">
      <c r="A132" s="57">
        <v>10</v>
      </c>
      <c r="B132" s="30" t="s">
        <v>40</v>
      </c>
      <c r="C132" s="30" t="s">
        <v>41</v>
      </c>
      <c r="D132" s="32" t="s">
        <v>42</v>
      </c>
      <c r="E132" s="32">
        <f>1180.24-E18</f>
        <v>304.07</v>
      </c>
      <c r="F132" s="70"/>
      <c r="G132" s="70">
        <f t="shared" si="7"/>
        <v>0</v>
      </c>
      <c r="H132" s="68" t="s">
        <v>15</v>
      </c>
      <c r="I132" s="79">
        <v>45</v>
      </c>
    </row>
    <row r="133" s="43" customFormat="1" ht="112.5" spans="1:9">
      <c r="A133" s="57">
        <v>11</v>
      </c>
      <c r="B133" s="30" t="s">
        <v>43</v>
      </c>
      <c r="C133" s="30" t="s">
        <v>44</v>
      </c>
      <c r="D133" s="32" t="s">
        <v>42</v>
      </c>
      <c r="E133" s="32">
        <f>249.27-E19</f>
        <v>209.93</v>
      </c>
      <c r="F133" s="70"/>
      <c r="G133" s="70">
        <f t="shared" si="7"/>
        <v>0</v>
      </c>
      <c r="H133" s="68" t="s">
        <v>15</v>
      </c>
      <c r="I133" s="79">
        <v>45</v>
      </c>
    </row>
    <row r="134" s="43" customFormat="1" ht="16" customHeight="1" spans="1:9">
      <c r="A134" s="57"/>
      <c r="B134" s="65" t="s">
        <v>47</v>
      </c>
      <c r="C134" s="59"/>
      <c r="D134" s="72"/>
      <c r="E134" s="73"/>
      <c r="F134" s="70"/>
      <c r="G134" s="70"/>
      <c r="H134" s="68"/>
      <c r="I134" s="79"/>
    </row>
    <row r="135" s="43" customFormat="1" ht="101.25" spans="1:9">
      <c r="A135" s="57">
        <v>1</v>
      </c>
      <c r="B135" s="30" t="s">
        <v>48</v>
      </c>
      <c r="C135" s="30" t="s">
        <v>49</v>
      </c>
      <c r="D135" s="32" t="s">
        <v>21</v>
      </c>
      <c r="E135" s="69">
        <f>529.08-E22</f>
        <v>89.7</v>
      </c>
      <c r="F135" s="70"/>
      <c r="G135" s="70">
        <f t="shared" ref="G135:G138" si="8">F135*E135</f>
        <v>0</v>
      </c>
      <c r="H135" s="68" t="s">
        <v>15</v>
      </c>
      <c r="I135" s="79">
        <v>18.5</v>
      </c>
    </row>
    <row r="136" s="43" customFormat="1" ht="101.25" spans="1:9">
      <c r="A136" s="57">
        <v>2</v>
      </c>
      <c r="B136" s="30" t="s">
        <v>50</v>
      </c>
      <c r="C136" s="30" t="s">
        <v>51</v>
      </c>
      <c r="D136" s="32" t="s">
        <v>21</v>
      </c>
      <c r="E136" s="69">
        <f>1068.13-E23</f>
        <v>364.59</v>
      </c>
      <c r="F136" s="70"/>
      <c r="G136" s="70">
        <f t="shared" si="8"/>
        <v>0</v>
      </c>
      <c r="H136" s="68" t="s">
        <v>15</v>
      </c>
      <c r="I136" s="79">
        <v>18.5</v>
      </c>
    </row>
    <row r="137" s="43" customFormat="1" ht="123.75" spans="1:9">
      <c r="A137" s="57">
        <v>3</v>
      </c>
      <c r="B137" s="30" t="s">
        <v>52</v>
      </c>
      <c r="C137" s="30" t="s">
        <v>53</v>
      </c>
      <c r="D137" s="32" t="s">
        <v>42</v>
      </c>
      <c r="E137" s="69">
        <f>66.22-E24</f>
        <v>23.88</v>
      </c>
      <c r="F137" s="70"/>
      <c r="G137" s="70">
        <f t="shared" si="8"/>
        <v>0</v>
      </c>
      <c r="H137" s="68" t="s">
        <v>15</v>
      </c>
      <c r="I137" s="79">
        <v>35</v>
      </c>
    </row>
    <row r="138" s="43" customFormat="1" ht="135" spans="1:9">
      <c r="A138" s="57">
        <v>4</v>
      </c>
      <c r="B138" s="30" t="s">
        <v>54</v>
      </c>
      <c r="C138" s="30" t="s">
        <v>55</v>
      </c>
      <c r="D138" s="32" t="s">
        <v>42</v>
      </c>
      <c r="E138" s="69">
        <v>1</v>
      </c>
      <c r="F138" s="70"/>
      <c r="G138" s="70">
        <f t="shared" si="8"/>
        <v>0</v>
      </c>
      <c r="H138" s="68" t="s">
        <v>15</v>
      </c>
      <c r="I138" s="79">
        <v>60</v>
      </c>
    </row>
    <row r="139" s="43" customFormat="1" ht="19" customHeight="1" spans="1:9">
      <c r="A139" s="57"/>
      <c r="B139" s="65" t="s">
        <v>56</v>
      </c>
      <c r="C139" s="59"/>
      <c r="D139" s="72"/>
      <c r="E139" s="73"/>
      <c r="F139" s="70"/>
      <c r="G139" s="70"/>
      <c r="H139" s="68"/>
      <c r="I139" s="79"/>
    </row>
    <row r="140" s="44" customFormat="1" ht="90" spans="1:9">
      <c r="A140" s="57">
        <v>1</v>
      </c>
      <c r="B140" s="30" t="s">
        <v>236</v>
      </c>
      <c r="C140" s="30" t="s">
        <v>58</v>
      </c>
      <c r="D140" s="32" t="s">
        <v>21</v>
      </c>
      <c r="E140" s="32">
        <f>412.74-E27</f>
        <v>129.07</v>
      </c>
      <c r="F140" s="70"/>
      <c r="G140" s="70">
        <f t="shared" ref="G140:G162" si="9">F140*E140</f>
        <v>0</v>
      </c>
      <c r="H140" s="68" t="s">
        <v>15</v>
      </c>
      <c r="I140" s="79">
        <v>15</v>
      </c>
    </row>
    <row r="141" s="43" customFormat="1" ht="90" spans="1:9">
      <c r="A141" s="57">
        <v>2</v>
      </c>
      <c r="B141" s="30" t="s">
        <v>237</v>
      </c>
      <c r="C141" s="30" t="s">
        <v>60</v>
      </c>
      <c r="D141" s="32" t="s">
        <v>21</v>
      </c>
      <c r="E141" s="32">
        <f>9008.6-E28</f>
        <v>4188.37</v>
      </c>
      <c r="F141" s="70"/>
      <c r="G141" s="70">
        <f t="shared" si="9"/>
        <v>0</v>
      </c>
      <c r="H141" s="68" t="s">
        <v>15</v>
      </c>
      <c r="I141" s="79">
        <v>22.5</v>
      </c>
    </row>
    <row r="142" s="43" customFormat="1" ht="78.75" spans="1:9">
      <c r="A142" s="57">
        <v>3</v>
      </c>
      <c r="B142" s="30" t="s">
        <v>61</v>
      </c>
      <c r="C142" s="30" t="s">
        <v>238</v>
      </c>
      <c r="D142" s="32" t="s">
        <v>21</v>
      </c>
      <c r="E142" s="32">
        <f>273.43-E29</f>
        <v>231.61</v>
      </c>
      <c r="F142" s="70"/>
      <c r="G142" s="70">
        <f t="shared" si="9"/>
        <v>0</v>
      </c>
      <c r="H142" s="68" t="s">
        <v>15</v>
      </c>
      <c r="I142" s="79">
        <v>15</v>
      </c>
    </row>
    <row r="143" s="43" customFormat="1" ht="67.5" spans="1:9">
      <c r="A143" s="57">
        <v>4</v>
      </c>
      <c r="B143" s="30" t="s">
        <v>63</v>
      </c>
      <c r="C143" s="30" t="s">
        <v>64</v>
      </c>
      <c r="D143" s="32" t="s">
        <v>21</v>
      </c>
      <c r="E143" s="32">
        <f>5319.18-E30</f>
        <v>1850</v>
      </c>
      <c r="F143" s="70"/>
      <c r="G143" s="70">
        <f t="shared" si="9"/>
        <v>0</v>
      </c>
      <c r="H143" s="68" t="s">
        <v>15</v>
      </c>
      <c r="I143" s="79">
        <v>30</v>
      </c>
    </row>
    <row r="144" s="43" customFormat="1" ht="135" spans="1:9">
      <c r="A144" s="57">
        <v>5</v>
      </c>
      <c r="B144" s="30" t="s">
        <v>65</v>
      </c>
      <c r="C144" s="30" t="s">
        <v>66</v>
      </c>
      <c r="D144" s="32" t="s">
        <v>21</v>
      </c>
      <c r="E144" s="32">
        <f>4869.92-E31</f>
        <v>1315.91</v>
      </c>
      <c r="F144" s="70"/>
      <c r="G144" s="70">
        <f t="shared" si="9"/>
        <v>0</v>
      </c>
      <c r="H144" s="68" t="s">
        <v>15</v>
      </c>
      <c r="I144" s="79">
        <v>45</v>
      </c>
    </row>
    <row r="145" s="43" customFormat="1" ht="168.75" spans="1:9">
      <c r="A145" s="57">
        <v>6</v>
      </c>
      <c r="B145" s="30" t="s">
        <v>67</v>
      </c>
      <c r="C145" s="30" t="s">
        <v>68</v>
      </c>
      <c r="D145" s="32" t="s">
        <v>21</v>
      </c>
      <c r="E145" s="32">
        <f>412.74-E32</f>
        <v>129.07</v>
      </c>
      <c r="F145" s="70"/>
      <c r="G145" s="70">
        <f t="shared" si="9"/>
        <v>0</v>
      </c>
      <c r="H145" s="68" t="s">
        <v>15</v>
      </c>
      <c r="I145" s="79">
        <v>45</v>
      </c>
    </row>
    <row r="146" s="43" customFormat="1" ht="67.5" spans="1:9">
      <c r="A146" s="57">
        <v>7</v>
      </c>
      <c r="B146" s="30" t="s">
        <v>69</v>
      </c>
      <c r="C146" s="30" t="s">
        <v>239</v>
      </c>
      <c r="D146" s="32" t="s">
        <v>21</v>
      </c>
      <c r="E146" s="32">
        <f>178.25-E33</f>
        <v>48.55</v>
      </c>
      <c r="F146" s="70"/>
      <c r="G146" s="70">
        <f t="shared" si="9"/>
        <v>0</v>
      </c>
      <c r="H146" s="68" t="s">
        <v>15</v>
      </c>
      <c r="I146" s="79">
        <v>30</v>
      </c>
    </row>
    <row r="147" s="43" customFormat="1" ht="168.75" spans="1:9">
      <c r="A147" s="57">
        <v>8</v>
      </c>
      <c r="B147" s="30" t="s">
        <v>71</v>
      </c>
      <c r="C147" s="30" t="s">
        <v>72</v>
      </c>
      <c r="D147" s="32" t="s">
        <v>21</v>
      </c>
      <c r="E147" s="32">
        <f>361.88-E34</f>
        <v>360.88</v>
      </c>
      <c r="F147" s="70"/>
      <c r="G147" s="70">
        <f t="shared" si="9"/>
        <v>0</v>
      </c>
      <c r="H147" s="68" t="s">
        <v>15</v>
      </c>
      <c r="I147" s="79">
        <v>45</v>
      </c>
    </row>
    <row r="148" s="43" customFormat="1" ht="168.75" spans="1:9">
      <c r="A148" s="57">
        <v>9</v>
      </c>
      <c r="B148" s="30" t="s">
        <v>73</v>
      </c>
      <c r="C148" s="30" t="s">
        <v>72</v>
      </c>
      <c r="D148" s="32" t="s">
        <v>21</v>
      </c>
      <c r="E148" s="32">
        <f>1945.12-E35</f>
        <v>936.46</v>
      </c>
      <c r="F148" s="70"/>
      <c r="G148" s="70">
        <f t="shared" si="9"/>
        <v>0</v>
      </c>
      <c r="H148" s="68" t="s">
        <v>15</v>
      </c>
      <c r="I148" s="79">
        <v>45</v>
      </c>
    </row>
    <row r="149" s="43" customFormat="1" ht="168.75" spans="1:9">
      <c r="A149" s="57">
        <v>10</v>
      </c>
      <c r="B149" s="30" t="s">
        <v>74</v>
      </c>
      <c r="C149" s="30" t="s">
        <v>75</v>
      </c>
      <c r="D149" s="32" t="s">
        <v>21</v>
      </c>
      <c r="E149" s="32">
        <f>411.86-E36</f>
        <v>410.86</v>
      </c>
      <c r="F149" s="70"/>
      <c r="G149" s="70">
        <f t="shared" si="9"/>
        <v>0</v>
      </c>
      <c r="H149" s="68" t="s">
        <v>15</v>
      </c>
      <c r="I149" s="79">
        <v>55</v>
      </c>
    </row>
    <row r="150" s="43" customFormat="1" ht="168.75" spans="1:9">
      <c r="A150" s="57">
        <v>11</v>
      </c>
      <c r="B150" s="30" t="s">
        <v>76</v>
      </c>
      <c r="C150" s="30" t="s">
        <v>77</v>
      </c>
      <c r="D150" s="32" t="s">
        <v>21</v>
      </c>
      <c r="E150" s="32">
        <f>814.13-E37</f>
        <v>454.16</v>
      </c>
      <c r="F150" s="70"/>
      <c r="G150" s="70">
        <f t="shared" si="9"/>
        <v>0</v>
      </c>
      <c r="H150" s="68" t="s">
        <v>15</v>
      </c>
      <c r="I150" s="79">
        <v>30</v>
      </c>
    </row>
    <row r="151" s="43" customFormat="1" ht="168.75" spans="1:9">
      <c r="A151" s="57">
        <v>12</v>
      </c>
      <c r="B151" s="30" t="s">
        <v>78</v>
      </c>
      <c r="C151" s="30" t="s">
        <v>77</v>
      </c>
      <c r="D151" s="32" t="s">
        <v>21</v>
      </c>
      <c r="E151" s="32">
        <f>3877.06-E38</f>
        <v>1228.09</v>
      </c>
      <c r="F151" s="70"/>
      <c r="G151" s="70">
        <f t="shared" si="9"/>
        <v>0</v>
      </c>
      <c r="H151" s="68" t="s">
        <v>15</v>
      </c>
      <c r="I151" s="79">
        <v>30</v>
      </c>
    </row>
    <row r="152" s="43" customFormat="1" ht="101.25" spans="1:9">
      <c r="A152" s="57">
        <v>13</v>
      </c>
      <c r="B152" s="30" t="s">
        <v>79</v>
      </c>
      <c r="C152" s="30" t="s">
        <v>80</v>
      </c>
      <c r="D152" s="32" t="s">
        <v>21</v>
      </c>
      <c r="E152" s="32">
        <v>237.67</v>
      </c>
      <c r="F152" s="70"/>
      <c r="G152" s="70">
        <f t="shared" si="9"/>
        <v>0</v>
      </c>
      <c r="H152" s="68" t="s">
        <v>15</v>
      </c>
      <c r="I152" s="79">
        <v>35</v>
      </c>
    </row>
    <row r="153" s="43" customFormat="1" ht="146.25" spans="1:9">
      <c r="A153" s="57">
        <v>14</v>
      </c>
      <c r="B153" s="30" t="s">
        <v>81</v>
      </c>
      <c r="C153" s="30" t="s">
        <v>82</v>
      </c>
      <c r="D153" s="32" t="s">
        <v>42</v>
      </c>
      <c r="E153" s="32">
        <f>804.2-E40</f>
        <v>286.16</v>
      </c>
      <c r="F153" s="70"/>
      <c r="G153" s="70">
        <f t="shared" si="9"/>
        <v>0</v>
      </c>
      <c r="H153" s="68" t="s">
        <v>15</v>
      </c>
      <c r="I153" s="79">
        <v>8</v>
      </c>
    </row>
    <row r="154" s="43" customFormat="1" ht="123.75" spans="1:9">
      <c r="A154" s="57">
        <v>15</v>
      </c>
      <c r="B154" s="30" t="s">
        <v>83</v>
      </c>
      <c r="C154" s="30" t="s">
        <v>84</v>
      </c>
      <c r="D154" s="32" t="s">
        <v>42</v>
      </c>
      <c r="E154" s="32">
        <f>6374.87-E41</f>
        <v>2210.57</v>
      </c>
      <c r="F154" s="70"/>
      <c r="G154" s="70">
        <f t="shared" si="9"/>
        <v>0</v>
      </c>
      <c r="H154" s="68" t="s">
        <v>15</v>
      </c>
      <c r="I154" s="79">
        <v>15</v>
      </c>
    </row>
    <row r="155" s="43" customFormat="1" ht="180" spans="1:9">
      <c r="A155" s="57">
        <v>16</v>
      </c>
      <c r="B155" s="30" t="s">
        <v>85</v>
      </c>
      <c r="C155" s="30" t="s">
        <v>86</v>
      </c>
      <c r="D155" s="32" t="s">
        <v>21</v>
      </c>
      <c r="E155" s="32">
        <f>386.32-E42</f>
        <v>285.08</v>
      </c>
      <c r="F155" s="70"/>
      <c r="G155" s="70">
        <f t="shared" si="9"/>
        <v>0</v>
      </c>
      <c r="H155" s="68" t="s">
        <v>15</v>
      </c>
      <c r="I155" s="79">
        <v>110</v>
      </c>
    </row>
    <row r="156" s="43" customFormat="1" ht="123.75" spans="1:9">
      <c r="A156" s="57">
        <v>17</v>
      </c>
      <c r="B156" s="30" t="s">
        <v>87</v>
      </c>
      <c r="C156" s="30" t="s">
        <v>88</v>
      </c>
      <c r="D156" s="32" t="s">
        <v>21</v>
      </c>
      <c r="E156" s="32">
        <v>1</v>
      </c>
      <c r="F156" s="70"/>
      <c r="G156" s="70">
        <f t="shared" si="9"/>
        <v>0</v>
      </c>
      <c r="H156" s="68" t="s">
        <v>15</v>
      </c>
      <c r="I156" s="79">
        <v>55</v>
      </c>
    </row>
    <row r="157" s="43" customFormat="1" ht="168.75" spans="1:9">
      <c r="A157" s="57">
        <v>18</v>
      </c>
      <c r="B157" s="30" t="s">
        <v>89</v>
      </c>
      <c r="C157" s="30" t="s">
        <v>90</v>
      </c>
      <c r="D157" s="32" t="s">
        <v>21</v>
      </c>
      <c r="E157" s="32">
        <v>1</v>
      </c>
      <c r="F157" s="70"/>
      <c r="G157" s="70">
        <f t="shared" si="9"/>
        <v>0</v>
      </c>
      <c r="H157" s="68" t="s">
        <v>15</v>
      </c>
      <c r="I157" s="79">
        <v>90</v>
      </c>
    </row>
    <row r="158" s="43" customFormat="1" ht="191.25" spans="1:9">
      <c r="A158" s="57">
        <v>19</v>
      </c>
      <c r="B158" s="30" t="s">
        <v>91</v>
      </c>
      <c r="C158" s="30" t="s">
        <v>92</v>
      </c>
      <c r="D158" s="32" t="s">
        <v>21</v>
      </c>
      <c r="E158" s="32">
        <f>103.48-E45</f>
        <v>40.35</v>
      </c>
      <c r="F158" s="70"/>
      <c r="G158" s="70">
        <f t="shared" si="9"/>
        <v>0</v>
      </c>
      <c r="H158" s="68" t="s">
        <v>15</v>
      </c>
      <c r="I158" s="79">
        <v>90</v>
      </c>
    </row>
    <row r="159" s="43" customFormat="1" ht="202.5" spans="1:9">
      <c r="A159" s="57">
        <v>20</v>
      </c>
      <c r="B159" s="30" t="s">
        <v>93</v>
      </c>
      <c r="C159" s="30" t="s">
        <v>94</v>
      </c>
      <c r="D159" s="32" t="s">
        <v>21</v>
      </c>
      <c r="E159" s="32">
        <v>1</v>
      </c>
      <c r="F159" s="70"/>
      <c r="G159" s="70">
        <f t="shared" si="9"/>
        <v>0</v>
      </c>
      <c r="H159" s="68" t="s">
        <v>15</v>
      </c>
      <c r="I159" s="79">
        <v>100</v>
      </c>
    </row>
    <row r="160" s="43" customFormat="1" ht="146.25" spans="1:9">
      <c r="A160" s="57">
        <v>21</v>
      </c>
      <c r="B160" s="30" t="s">
        <v>95</v>
      </c>
      <c r="C160" s="30" t="s">
        <v>96</v>
      </c>
      <c r="D160" s="32" t="s">
        <v>21</v>
      </c>
      <c r="E160" s="32">
        <f>17.06-E47</f>
        <v>6.06</v>
      </c>
      <c r="F160" s="70"/>
      <c r="G160" s="70">
        <f t="shared" si="9"/>
        <v>0</v>
      </c>
      <c r="H160" s="68" t="s">
        <v>15</v>
      </c>
      <c r="I160" s="79">
        <v>75</v>
      </c>
    </row>
    <row r="161" s="42" customFormat="1" ht="90" spans="1:9">
      <c r="A161" s="57">
        <v>22</v>
      </c>
      <c r="B161" s="30" t="s">
        <v>97</v>
      </c>
      <c r="C161" s="30" t="s">
        <v>98</v>
      </c>
      <c r="D161" s="32" t="s">
        <v>42</v>
      </c>
      <c r="E161" s="32">
        <v>1</v>
      </c>
      <c r="F161" s="70"/>
      <c r="G161" s="70">
        <f t="shared" si="9"/>
        <v>0</v>
      </c>
      <c r="H161" s="68" t="s">
        <v>15</v>
      </c>
      <c r="I161" s="79">
        <v>25</v>
      </c>
    </row>
    <row r="162" s="43" customFormat="1" ht="146.25" spans="1:9">
      <c r="A162" s="57">
        <v>23</v>
      </c>
      <c r="B162" s="30" t="s">
        <v>99</v>
      </c>
      <c r="C162" s="30" t="s">
        <v>100</v>
      </c>
      <c r="D162" s="32" t="s">
        <v>42</v>
      </c>
      <c r="E162" s="32">
        <f>558.55-E49</f>
        <v>209.54</v>
      </c>
      <c r="F162" s="70"/>
      <c r="G162" s="70">
        <f t="shared" si="9"/>
        <v>0</v>
      </c>
      <c r="H162" s="68" t="s">
        <v>15</v>
      </c>
      <c r="I162" s="79">
        <v>160</v>
      </c>
    </row>
    <row r="163" s="43" customFormat="1" ht="28" customHeight="1" spans="1:9">
      <c r="A163" s="57"/>
      <c r="B163" s="65" t="s">
        <v>103</v>
      </c>
      <c r="C163" s="59"/>
      <c r="D163" s="72"/>
      <c r="E163" s="73"/>
      <c r="F163" s="70"/>
      <c r="G163" s="70"/>
      <c r="H163" s="68"/>
      <c r="I163" s="79"/>
    </row>
    <row r="164" s="43" customFormat="1" ht="101.25" spans="1:9">
      <c r="A164" s="57">
        <v>1</v>
      </c>
      <c r="B164" s="30" t="s">
        <v>104</v>
      </c>
      <c r="C164" s="30" t="s">
        <v>240</v>
      </c>
      <c r="D164" s="32" t="s">
        <v>21</v>
      </c>
      <c r="E164" s="32">
        <f>351.37*2-E52</f>
        <v>58.02</v>
      </c>
      <c r="F164" s="70"/>
      <c r="G164" s="70">
        <f t="shared" ref="G164:G181" si="10">F164*E164</f>
        <v>0</v>
      </c>
      <c r="H164" s="68" t="s">
        <v>15</v>
      </c>
      <c r="I164" s="79">
        <v>15</v>
      </c>
    </row>
    <row r="165" s="43" customFormat="1" ht="135" spans="1:9">
      <c r="A165" s="57">
        <v>2</v>
      </c>
      <c r="B165" s="30" t="s">
        <v>106</v>
      </c>
      <c r="C165" s="30" t="s">
        <v>107</v>
      </c>
      <c r="D165" s="32" t="s">
        <v>21</v>
      </c>
      <c r="E165" s="32">
        <f>2583.53-E53-E166</f>
        <v>609.16</v>
      </c>
      <c r="F165" s="70"/>
      <c r="G165" s="70">
        <f t="shared" si="10"/>
        <v>0</v>
      </c>
      <c r="H165" s="68" t="s">
        <v>15</v>
      </c>
      <c r="I165" s="79">
        <v>70</v>
      </c>
    </row>
    <row r="166" s="43" customFormat="1" ht="135" spans="1:9">
      <c r="A166" s="57">
        <v>3</v>
      </c>
      <c r="B166" s="30" t="s">
        <v>108</v>
      </c>
      <c r="C166" s="30" t="s">
        <v>241</v>
      </c>
      <c r="D166" s="32" t="s">
        <v>21</v>
      </c>
      <c r="E166" s="69">
        <v>441.56</v>
      </c>
      <c r="F166" s="70"/>
      <c r="G166" s="70">
        <f t="shared" si="10"/>
        <v>0</v>
      </c>
      <c r="H166" s="68" t="s">
        <v>15</v>
      </c>
      <c r="I166" s="79">
        <v>70</v>
      </c>
    </row>
    <row r="167" s="43" customFormat="1" ht="135" spans="1:9">
      <c r="A167" s="57">
        <v>4</v>
      </c>
      <c r="B167" s="30" t="s">
        <v>110</v>
      </c>
      <c r="C167" s="30" t="s">
        <v>111</v>
      </c>
      <c r="D167" s="32" t="s">
        <v>21</v>
      </c>
      <c r="E167" s="32">
        <f>1291.82-E55</f>
        <v>175.77</v>
      </c>
      <c r="F167" s="70"/>
      <c r="G167" s="70">
        <f t="shared" si="10"/>
        <v>0</v>
      </c>
      <c r="H167" s="68" t="s">
        <v>15</v>
      </c>
      <c r="I167" s="79">
        <v>80</v>
      </c>
    </row>
    <row r="168" s="43" customFormat="1" ht="123.75" spans="1:9">
      <c r="A168" s="57">
        <v>5</v>
      </c>
      <c r="B168" s="30" t="s">
        <v>112</v>
      </c>
      <c r="C168" s="30" t="s">
        <v>113</v>
      </c>
      <c r="D168" s="32" t="s">
        <v>21</v>
      </c>
      <c r="E168" s="32">
        <f>64.16-E56</f>
        <v>63.16</v>
      </c>
      <c r="F168" s="70"/>
      <c r="G168" s="70">
        <f t="shared" si="10"/>
        <v>0</v>
      </c>
      <c r="H168" s="68" t="s">
        <v>15</v>
      </c>
      <c r="I168" s="79">
        <v>90</v>
      </c>
    </row>
    <row r="169" s="43" customFormat="1" ht="123.75" spans="1:9">
      <c r="A169" s="57">
        <v>6</v>
      </c>
      <c r="B169" s="30" t="s">
        <v>114</v>
      </c>
      <c r="C169" s="30" t="s">
        <v>115</v>
      </c>
      <c r="D169" s="32" t="s">
        <v>21</v>
      </c>
      <c r="E169" s="32">
        <v>1</v>
      </c>
      <c r="F169" s="70"/>
      <c r="G169" s="70">
        <f t="shared" si="10"/>
        <v>0</v>
      </c>
      <c r="H169" s="68" t="s">
        <v>15</v>
      </c>
      <c r="I169" s="79">
        <v>110</v>
      </c>
    </row>
    <row r="170" s="43" customFormat="1" ht="157.5" spans="1:9">
      <c r="A170" s="57">
        <v>7</v>
      </c>
      <c r="B170" s="30" t="s">
        <v>116</v>
      </c>
      <c r="C170" s="30" t="s">
        <v>117</v>
      </c>
      <c r="D170" s="32" t="s">
        <v>21</v>
      </c>
      <c r="E170" s="32">
        <f>316.57-E58</f>
        <v>315.57</v>
      </c>
      <c r="F170" s="70"/>
      <c r="G170" s="70">
        <f t="shared" si="10"/>
        <v>0</v>
      </c>
      <c r="H170" s="68" t="s">
        <v>15</v>
      </c>
      <c r="I170" s="79">
        <v>135</v>
      </c>
    </row>
    <row r="171" s="43" customFormat="1" ht="101.25" spans="1:9">
      <c r="A171" s="57">
        <v>8</v>
      </c>
      <c r="B171" s="30" t="s">
        <v>118</v>
      </c>
      <c r="C171" s="30" t="s">
        <v>119</v>
      </c>
      <c r="D171" s="32" t="s">
        <v>21</v>
      </c>
      <c r="E171" s="32">
        <f>28.39-E59</f>
        <v>27.39</v>
      </c>
      <c r="F171" s="70"/>
      <c r="G171" s="70">
        <f t="shared" si="10"/>
        <v>0</v>
      </c>
      <c r="H171" s="68" t="s">
        <v>15</v>
      </c>
      <c r="I171" s="79">
        <v>110</v>
      </c>
    </row>
    <row r="172" s="43" customFormat="1" ht="135" spans="1:9">
      <c r="A172" s="57">
        <v>9</v>
      </c>
      <c r="B172" s="30" t="s">
        <v>120</v>
      </c>
      <c r="C172" s="30" t="s">
        <v>121</v>
      </c>
      <c r="D172" s="32" t="s">
        <v>21</v>
      </c>
      <c r="E172" s="32">
        <f>38.76-E60</f>
        <v>37.76</v>
      </c>
      <c r="F172" s="70"/>
      <c r="G172" s="70">
        <f t="shared" si="10"/>
        <v>0</v>
      </c>
      <c r="H172" s="68" t="s">
        <v>15</v>
      </c>
      <c r="I172" s="79">
        <v>110</v>
      </c>
    </row>
    <row r="173" s="43" customFormat="1" ht="157.5" spans="1:9">
      <c r="A173" s="57">
        <v>10</v>
      </c>
      <c r="B173" s="30" t="s">
        <v>122</v>
      </c>
      <c r="C173" s="30" t="s">
        <v>123</v>
      </c>
      <c r="D173" s="32" t="s">
        <v>21</v>
      </c>
      <c r="E173" s="32">
        <f>274.3-E61</f>
        <v>184.44</v>
      </c>
      <c r="F173" s="70"/>
      <c r="G173" s="70">
        <f t="shared" si="10"/>
        <v>0</v>
      </c>
      <c r="H173" s="68" t="s">
        <v>15</v>
      </c>
      <c r="I173" s="79">
        <v>110</v>
      </c>
    </row>
    <row r="174" s="43" customFormat="1" ht="168.75" spans="1:9">
      <c r="A174" s="57">
        <v>11</v>
      </c>
      <c r="B174" s="30" t="s">
        <v>124</v>
      </c>
      <c r="C174" s="30" t="s">
        <v>125</v>
      </c>
      <c r="D174" s="32" t="s">
        <v>21</v>
      </c>
      <c r="E174" s="32">
        <f>7105.79-E62</f>
        <v>2575.08</v>
      </c>
      <c r="F174" s="70"/>
      <c r="G174" s="70">
        <f t="shared" si="10"/>
        <v>0</v>
      </c>
      <c r="H174" s="68" t="s">
        <v>15</v>
      </c>
      <c r="I174" s="79">
        <v>165</v>
      </c>
    </row>
    <row r="175" s="43" customFormat="1" ht="146.25" spans="1:9">
      <c r="A175" s="57">
        <v>12</v>
      </c>
      <c r="B175" s="30" t="s">
        <v>126</v>
      </c>
      <c r="C175" s="30" t="s">
        <v>127</v>
      </c>
      <c r="D175" s="32" t="s">
        <v>21</v>
      </c>
      <c r="E175" s="32">
        <f>351.37-E63</f>
        <v>29.01</v>
      </c>
      <c r="F175" s="70"/>
      <c r="G175" s="70">
        <f t="shared" si="10"/>
        <v>0</v>
      </c>
      <c r="H175" s="68" t="s">
        <v>15</v>
      </c>
      <c r="I175" s="79">
        <v>135</v>
      </c>
    </row>
    <row r="176" s="43" customFormat="1" ht="146.25" spans="1:9">
      <c r="A176" s="57">
        <v>13</v>
      </c>
      <c r="B176" s="30" t="s">
        <v>128</v>
      </c>
      <c r="C176" s="30" t="s">
        <v>129</v>
      </c>
      <c r="D176" s="32" t="s">
        <v>21</v>
      </c>
      <c r="E176" s="32">
        <f>3218.48-E64</f>
        <v>1145.49</v>
      </c>
      <c r="F176" s="70"/>
      <c r="G176" s="70">
        <f t="shared" si="10"/>
        <v>0</v>
      </c>
      <c r="H176" s="68" t="s">
        <v>15</v>
      </c>
      <c r="I176" s="79">
        <v>110</v>
      </c>
    </row>
    <row r="177" s="43" customFormat="1" ht="123.75" spans="1:9">
      <c r="A177" s="57">
        <v>14</v>
      </c>
      <c r="B177" s="30" t="s">
        <v>130</v>
      </c>
      <c r="C177" s="30" t="s">
        <v>131</v>
      </c>
      <c r="D177" s="32" t="s">
        <v>21</v>
      </c>
      <c r="E177" s="32">
        <f>375.9-E65</f>
        <v>113.2</v>
      </c>
      <c r="F177" s="70"/>
      <c r="G177" s="70">
        <f t="shared" si="10"/>
        <v>0</v>
      </c>
      <c r="H177" s="68" t="s">
        <v>15</v>
      </c>
      <c r="I177" s="79">
        <v>110</v>
      </c>
    </row>
    <row r="178" s="43" customFormat="1" ht="101.25" spans="1:9">
      <c r="A178" s="57">
        <v>15</v>
      </c>
      <c r="B178" s="30" t="s">
        <v>132</v>
      </c>
      <c r="C178" s="30" t="s">
        <v>133</v>
      </c>
      <c r="D178" s="32" t="s">
        <v>21</v>
      </c>
      <c r="E178" s="32">
        <f>850-E66</f>
        <v>602.39</v>
      </c>
      <c r="F178" s="70"/>
      <c r="G178" s="70">
        <f t="shared" si="10"/>
        <v>0</v>
      </c>
      <c r="H178" s="68" t="s">
        <v>15</v>
      </c>
      <c r="I178" s="79">
        <v>80</v>
      </c>
    </row>
    <row r="179" s="43" customFormat="1" ht="123.75" spans="1:9">
      <c r="A179" s="57">
        <v>16</v>
      </c>
      <c r="B179" s="30" t="s">
        <v>134</v>
      </c>
      <c r="C179" s="30" t="s">
        <v>135</v>
      </c>
      <c r="D179" s="32" t="s">
        <v>21</v>
      </c>
      <c r="E179" s="32">
        <f>7.7-E67</f>
        <v>6.7</v>
      </c>
      <c r="F179" s="70"/>
      <c r="G179" s="70">
        <f t="shared" si="10"/>
        <v>0</v>
      </c>
      <c r="H179" s="68" t="s">
        <v>15</v>
      </c>
      <c r="I179" s="79">
        <v>130</v>
      </c>
    </row>
    <row r="180" s="43" customFormat="1" ht="123.75" spans="1:9">
      <c r="A180" s="57">
        <v>17</v>
      </c>
      <c r="B180" s="30" t="s">
        <v>136</v>
      </c>
      <c r="C180" s="30" t="s">
        <v>137</v>
      </c>
      <c r="D180" s="32" t="s">
        <v>21</v>
      </c>
      <c r="E180" s="32">
        <f>3.25-E68</f>
        <v>1.98</v>
      </c>
      <c r="F180" s="70"/>
      <c r="G180" s="70">
        <f t="shared" si="10"/>
        <v>0</v>
      </c>
      <c r="H180" s="68" t="s">
        <v>15</v>
      </c>
      <c r="I180" s="79">
        <v>130</v>
      </c>
    </row>
    <row r="181" s="43" customFormat="1" ht="123.75" spans="1:9">
      <c r="A181" s="57">
        <v>18</v>
      </c>
      <c r="B181" s="30" t="s">
        <v>138</v>
      </c>
      <c r="C181" s="30" t="s">
        <v>139</v>
      </c>
      <c r="D181" s="32" t="s">
        <v>21</v>
      </c>
      <c r="E181" s="32">
        <f>23.81-E69</f>
        <v>22.81</v>
      </c>
      <c r="F181" s="70"/>
      <c r="G181" s="70">
        <f t="shared" si="10"/>
        <v>0</v>
      </c>
      <c r="H181" s="68" t="s">
        <v>15</v>
      </c>
      <c r="I181" s="79">
        <v>130</v>
      </c>
    </row>
    <row r="182" s="43" customFormat="1" ht="18" customHeight="1" spans="1:9">
      <c r="A182" s="57"/>
      <c r="B182" s="60" t="s">
        <v>148</v>
      </c>
      <c r="C182" s="59"/>
      <c r="D182" s="72"/>
      <c r="E182" s="73"/>
      <c r="F182" s="70"/>
      <c r="G182" s="70"/>
      <c r="H182" s="68"/>
      <c r="I182" s="79"/>
    </row>
    <row r="183" s="43" customFormat="1" ht="135" spans="1:9">
      <c r="A183" s="57">
        <v>1</v>
      </c>
      <c r="B183" s="30" t="s">
        <v>149</v>
      </c>
      <c r="C183" s="30" t="s">
        <v>242</v>
      </c>
      <c r="D183" s="32" t="s">
        <v>21</v>
      </c>
      <c r="E183" s="32">
        <f>91.13+23.23+31.64-E75</f>
        <v>14.15</v>
      </c>
      <c r="F183" s="70"/>
      <c r="G183" s="70">
        <f t="shared" ref="G183:G206" si="11">F183*E183</f>
        <v>0</v>
      </c>
      <c r="H183" s="68" t="s">
        <v>15</v>
      </c>
      <c r="I183" s="79">
        <v>50</v>
      </c>
    </row>
    <row r="184" s="43" customFormat="1" ht="146.25" spans="1:9">
      <c r="A184" s="57">
        <v>2</v>
      </c>
      <c r="B184" s="30" t="s">
        <v>151</v>
      </c>
      <c r="C184" s="30" t="s">
        <v>152</v>
      </c>
      <c r="D184" s="32" t="s">
        <v>21</v>
      </c>
      <c r="E184" s="32">
        <f>5613.94-E76</f>
        <v>688.46</v>
      </c>
      <c r="F184" s="70"/>
      <c r="G184" s="70">
        <f t="shared" si="11"/>
        <v>0</v>
      </c>
      <c r="H184" s="68" t="s">
        <v>15</v>
      </c>
      <c r="I184" s="79">
        <v>60</v>
      </c>
    </row>
    <row r="185" s="43" customFormat="1" ht="168.75" spans="1:9">
      <c r="A185" s="57">
        <v>3</v>
      </c>
      <c r="B185" s="30" t="s">
        <v>153</v>
      </c>
      <c r="C185" s="30" t="s">
        <v>154</v>
      </c>
      <c r="D185" s="32" t="s">
        <v>21</v>
      </c>
      <c r="E185" s="32">
        <f>461.51-E77</f>
        <v>135.57</v>
      </c>
      <c r="F185" s="70"/>
      <c r="G185" s="70">
        <f t="shared" si="11"/>
        <v>0</v>
      </c>
      <c r="H185" s="68" t="s">
        <v>15</v>
      </c>
      <c r="I185" s="79">
        <v>50</v>
      </c>
    </row>
    <row r="186" s="43" customFormat="1" ht="135" spans="1:9">
      <c r="A186" s="57">
        <v>4</v>
      </c>
      <c r="B186" s="30" t="s">
        <v>155</v>
      </c>
      <c r="C186" s="30" t="s">
        <v>243</v>
      </c>
      <c r="D186" s="32" t="s">
        <v>21</v>
      </c>
      <c r="E186" s="32">
        <f>6432.47-E78</f>
        <v>1467.52</v>
      </c>
      <c r="F186" s="70"/>
      <c r="G186" s="70">
        <f t="shared" si="11"/>
        <v>0</v>
      </c>
      <c r="H186" s="68" t="s">
        <v>15</v>
      </c>
      <c r="I186" s="79">
        <v>30</v>
      </c>
    </row>
    <row r="187" s="43" customFormat="1" ht="146.25" spans="1:9">
      <c r="A187" s="57">
        <v>5</v>
      </c>
      <c r="B187" s="30" t="s">
        <v>157</v>
      </c>
      <c r="C187" s="30" t="s">
        <v>244</v>
      </c>
      <c r="D187" s="32" t="s">
        <v>21</v>
      </c>
      <c r="E187" s="32">
        <f>825.17-E79</f>
        <v>331.74</v>
      </c>
      <c r="F187" s="70"/>
      <c r="G187" s="70">
        <f t="shared" si="11"/>
        <v>0</v>
      </c>
      <c r="H187" s="68" t="s">
        <v>15</v>
      </c>
      <c r="I187" s="79">
        <v>25</v>
      </c>
    </row>
    <row r="188" s="43" customFormat="1" ht="146.25" spans="1:9">
      <c r="A188" s="57">
        <v>6</v>
      </c>
      <c r="B188" s="30" t="s">
        <v>159</v>
      </c>
      <c r="C188" s="30" t="s">
        <v>160</v>
      </c>
      <c r="D188" s="32" t="s">
        <v>21</v>
      </c>
      <c r="E188" s="32">
        <f>236.69-E80</f>
        <v>235.69</v>
      </c>
      <c r="F188" s="70"/>
      <c r="G188" s="70">
        <f t="shared" si="11"/>
        <v>0</v>
      </c>
      <c r="H188" s="68" t="s">
        <v>15</v>
      </c>
      <c r="I188" s="79">
        <v>25</v>
      </c>
    </row>
    <row r="189" s="43" customFormat="1" ht="168.75" spans="1:9">
      <c r="A189" s="57">
        <v>7</v>
      </c>
      <c r="B189" s="30" t="s">
        <v>161</v>
      </c>
      <c r="C189" s="30" t="s">
        <v>162</v>
      </c>
      <c r="D189" s="32" t="s">
        <v>21</v>
      </c>
      <c r="E189" s="32">
        <f>590.31-E81</f>
        <v>106.74</v>
      </c>
      <c r="F189" s="70"/>
      <c r="G189" s="70">
        <f t="shared" si="11"/>
        <v>0</v>
      </c>
      <c r="H189" s="68" t="s">
        <v>15</v>
      </c>
      <c r="I189" s="79">
        <v>35</v>
      </c>
    </row>
    <row r="190" s="43" customFormat="1" ht="202.5" spans="1:9">
      <c r="A190" s="57">
        <v>8</v>
      </c>
      <c r="B190" s="30" t="s">
        <v>163</v>
      </c>
      <c r="C190" s="30" t="s">
        <v>164</v>
      </c>
      <c r="D190" s="32" t="s">
        <v>21</v>
      </c>
      <c r="E190" s="32">
        <v>1</v>
      </c>
      <c r="F190" s="70"/>
      <c r="G190" s="70">
        <f t="shared" si="11"/>
        <v>0</v>
      </c>
      <c r="H190" s="68" t="s">
        <v>15</v>
      </c>
      <c r="I190" s="79">
        <v>100</v>
      </c>
    </row>
    <row r="191" s="43" customFormat="1" ht="191.25" spans="1:9">
      <c r="A191" s="57">
        <v>9</v>
      </c>
      <c r="B191" s="30" t="s">
        <v>165</v>
      </c>
      <c r="C191" s="30" t="s">
        <v>166</v>
      </c>
      <c r="D191" s="32" t="s">
        <v>21</v>
      </c>
      <c r="E191" s="32">
        <v>1</v>
      </c>
      <c r="F191" s="70"/>
      <c r="G191" s="70">
        <f t="shared" si="11"/>
        <v>0</v>
      </c>
      <c r="H191" s="68" t="s">
        <v>15</v>
      </c>
      <c r="I191" s="79">
        <v>130</v>
      </c>
    </row>
    <row r="192" s="43" customFormat="1" ht="168.75" spans="1:9">
      <c r="A192" s="57">
        <v>10</v>
      </c>
      <c r="B192" s="30" t="s">
        <v>167</v>
      </c>
      <c r="C192" s="30" t="s">
        <v>245</v>
      </c>
      <c r="D192" s="32" t="s">
        <v>21</v>
      </c>
      <c r="E192" s="32">
        <f>87.26-E84</f>
        <v>56.82</v>
      </c>
      <c r="F192" s="70"/>
      <c r="G192" s="70">
        <f t="shared" si="11"/>
        <v>0</v>
      </c>
      <c r="H192" s="68" t="s">
        <v>15</v>
      </c>
      <c r="I192" s="79">
        <v>160</v>
      </c>
    </row>
    <row r="193" s="43" customFormat="1" ht="78.75" spans="1:9">
      <c r="A193" s="57">
        <v>11</v>
      </c>
      <c r="B193" s="30" t="s">
        <v>169</v>
      </c>
      <c r="C193" s="30" t="s">
        <v>170</v>
      </c>
      <c r="D193" s="32" t="s">
        <v>171</v>
      </c>
      <c r="E193" s="32">
        <v>1</v>
      </c>
      <c r="F193" s="70"/>
      <c r="G193" s="70">
        <f t="shared" si="11"/>
        <v>0</v>
      </c>
      <c r="H193" s="68" t="s">
        <v>15</v>
      </c>
      <c r="I193" s="79">
        <v>4500</v>
      </c>
    </row>
    <row r="194" s="43" customFormat="1" ht="112.5" spans="1:9">
      <c r="A194" s="57">
        <v>12</v>
      </c>
      <c r="B194" s="30" t="s">
        <v>172</v>
      </c>
      <c r="C194" s="30" t="s">
        <v>173</v>
      </c>
      <c r="D194" s="32" t="s">
        <v>174</v>
      </c>
      <c r="E194" s="32">
        <f>200-E86</f>
        <v>120</v>
      </c>
      <c r="F194" s="70"/>
      <c r="G194" s="70">
        <f t="shared" si="11"/>
        <v>0</v>
      </c>
      <c r="H194" s="68" t="s">
        <v>15</v>
      </c>
      <c r="I194" s="79">
        <v>40</v>
      </c>
    </row>
    <row r="195" s="43" customFormat="1" ht="67.5" spans="1:9">
      <c r="A195" s="57">
        <v>13</v>
      </c>
      <c r="B195" s="30" t="s">
        <v>175</v>
      </c>
      <c r="C195" s="30" t="s">
        <v>176</v>
      </c>
      <c r="D195" s="32" t="s">
        <v>42</v>
      </c>
      <c r="E195" s="32">
        <f>729.61-E87</f>
        <v>109.34</v>
      </c>
      <c r="F195" s="70"/>
      <c r="G195" s="70">
        <f t="shared" si="11"/>
        <v>0</v>
      </c>
      <c r="H195" s="68" t="s">
        <v>15</v>
      </c>
      <c r="I195" s="79">
        <v>20</v>
      </c>
    </row>
    <row r="196" s="43" customFormat="1" ht="67.5" spans="1:9">
      <c r="A196" s="57">
        <v>14</v>
      </c>
      <c r="B196" s="30" t="s">
        <v>177</v>
      </c>
      <c r="C196" s="30" t="s">
        <v>178</v>
      </c>
      <c r="D196" s="32" t="s">
        <v>42</v>
      </c>
      <c r="E196" s="32">
        <f>60.17-E88</f>
        <v>46.04</v>
      </c>
      <c r="F196" s="70"/>
      <c r="G196" s="70">
        <f t="shared" si="11"/>
        <v>0</v>
      </c>
      <c r="H196" s="68" t="s">
        <v>15</v>
      </c>
      <c r="I196" s="79">
        <v>20</v>
      </c>
    </row>
    <row r="197" s="43" customFormat="1" ht="67.5" spans="1:9">
      <c r="A197" s="57">
        <v>15</v>
      </c>
      <c r="B197" s="30" t="s">
        <v>179</v>
      </c>
      <c r="C197" s="30" t="s">
        <v>180</v>
      </c>
      <c r="D197" s="32" t="s">
        <v>42</v>
      </c>
      <c r="E197" s="32">
        <v>1</v>
      </c>
      <c r="F197" s="70"/>
      <c r="G197" s="70">
        <f t="shared" si="11"/>
        <v>0</v>
      </c>
      <c r="H197" s="68" t="s">
        <v>15</v>
      </c>
      <c r="I197" s="79">
        <v>20</v>
      </c>
    </row>
    <row r="198" s="43" customFormat="1" ht="67.5" spans="1:9">
      <c r="A198" s="57">
        <v>16</v>
      </c>
      <c r="B198" s="30" t="s">
        <v>181</v>
      </c>
      <c r="C198" s="30" t="s">
        <v>182</v>
      </c>
      <c r="D198" s="32" t="s">
        <v>42</v>
      </c>
      <c r="E198" s="32">
        <f>364.77-E90</f>
        <v>68.87</v>
      </c>
      <c r="F198" s="70"/>
      <c r="G198" s="70">
        <f t="shared" si="11"/>
        <v>0</v>
      </c>
      <c r="H198" s="68" t="s">
        <v>15</v>
      </c>
      <c r="I198" s="79">
        <v>20</v>
      </c>
    </row>
    <row r="199" s="43" customFormat="1" ht="67.5" spans="1:9">
      <c r="A199" s="57">
        <v>17</v>
      </c>
      <c r="B199" s="30" t="s">
        <v>183</v>
      </c>
      <c r="C199" s="30" t="s">
        <v>184</v>
      </c>
      <c r="D199" s="32" t="s">
        <v>42</v>
      </c>
      <c r="E199" s="32">
        <f>391.17-E91</f>
        <v>35.25</v>
      </c>
      <c r="F199" s="70"/>
      <c r="G199" s="70">
        <f t="shared" si="11"/>
        <v>0</v>
      </c>
      <c r="H199" s="68" t="s">
        <v>15</v>
      </c>
      <c r="I199" s="79">
        <v>20</v>
      </c>
    </row>
    <row r="200" s="43" customFormat="1" ht="67.5" spans="1:9">
      <c r="A200" s="57">
        <v>18</v>
      </c>
      <c r="B200" s="30" t="s">
        <v>185</v>
      </c>
      <c r="C200" s="30" t="s">
        <v>186</v>
      </c>
      <c r="D200" s="32" t="s">
        <v>42</v>
      </c>
      <c r="E200" s="32">
        <v>1</v>
      </c>
      <c r="F200" s="70"/>
      <c r="G200" s="70">
        <f t="shared" si="11"/>
        <v>0</v>
      </c>
      <c r="H200" s="68" t="s">
        <v>15</v>
      </c>
      <c r="I200" s="79">
        <v>20</v>
      </c>
    </row>
    <row r="201" s="43" customFormat="1" ht="67.5" spans="1:9">
      <c r="A201" s="57">
        <v>19</v>
      </c>
      <c r="B201" s="30" t="s">
        <v>187</v>
      </c>
      <c r="C201" s="30" t="s">
        <v>188</v>
      </c>
      <c r="D201" s="32" t="s">
        <v>42</v>
      </c>
      <c r="E201" s="32">
        <f>70.07-E93</f>
        <v>13.29</v>
      </c>
      <c r="F201" s="70"/>
      <c r="G201" s="70">
        <f t="shared" si="11"/>
        <v>0</v>
      </c>
      <c r="H201" s="68" t="s">
        <v>15</v>
      </c>
      <c r="I201" s="79">
        <v>10</v>
      </c>
    </row>
    <row r="202" s="43" customFormat="1" ht="67.5" spans="1:9">
      <c r="A202" s="57">
        <v>20</v>
      </c>
      <c r="B202" s="30" t="s">
        <v>189</v>
      </c>
      <c r="C202" s="30" t="s">
        <v>190</v>
      </c>
      <c r="D202" s="32" t="s">
        <v>42</v>
      </c>
      <c r="E202" s="32">
        <v>1</v>
      </c>
      <c r="F202" s="70"/>
      <c r="G202" s="70">
        <f t="shared" si="11"/>
        <v>0</v>
      </c>
      <c r="H202" s="68" t="s">
        <v>15</v>
      </c>
      <c r="I202" s="79">
        <v>10</v>
      </c>
    </row>
    <row r="203" s="43" customFormat="1" ht="78.75" spans="1:9">
      <c r="A203" s="57">
        <v>21</v>
      </c>
      <c r="B203" s="30" t="s">
        <v>191</v>
      </c>
      <c r="C203" s="30" t="s">
        <v>192</v>
      </c>
      <c r="D203" s="32" t="s">
        <v>42</v>
      </c>
      <c r="E203" s="32">
        <v>1</v>
      </c>
      <c r="F203" s="70"/>
      <c r="G203" s="70">
        <f t="shared" si="11"/>
        <v>0</v>
      </c>
      <c r="H203" s="68" t="s">
        <v>15</v>
      </c>
      <c r="I203" s="79">
        <v>10</v>
      </c>
    </row>
    <row r="204" s="43" customFormat="1" ht="112.5" spans="1:9">
      <c r="A204" s="57">
        <v>22</v>
      </c>
      <c r="B204" s="30" t="s">
        <v>193</v>
      </c>
      <c r="C204" s="30" t="s">
        <v>194</v>
      </c>
      <c r="D204" s="32" t="s">
        <v>21</v>
      </c>
      <c r="E204" s="32">
        <f>77.2-E96</f>
        <v>37.19</v>
      </c>
      <c r="F204" s="70"/>
      <c r="G204" s="70">
        <f t="shared" si="11"/>
        <v>0</v>
      </c>
      <c r="H204" s="68" t="s">
        <v>15</v>
      </c>
      <c r="I204" s="79">
        <v>130</v>
      </c>
    </row>
    <row r="205" s="43" customFormat="1" ht="45" spans="1:9">
      <c r="A205" s="57">
        <v>23</v>
      </c>
      <c r="B205" s="30" t="s">
        <v>195</v>
      </c>
      <c r="C205" s="30" t="s">
        <v>196</v>
      </c>
      <c r="D205" s="32" t="s">
        <v>174</v>
      </c>
      <c r="E205" s="32">
        <f>804-E97</f>
        <v>344</v>
      </c>
      <c r="F205" s="70"/>
      <c r="G205" s="70">
        <f t="shared" si="11"/>
        <v>0</v>
      </c>
      <c r="H205" s="68" t="s">
        <v>15</v>
      </c>
      <c r="I205" s="79">
        <v>10</v>
      </c>
    </row>
    <row r="206" s="43" customFormat="1" ht="45" spans="1:9">
      <c r="A206" s="57">
        <v>24</v>
      </c>
      <c r="B206" s="30" t="s">
        <v>197</v>
      </c>
      <c r="C206" s="30" t="s">
        <v>196</v>
      </c>
      <c r="D206" s="32" t="s">
        <v>174</v>
      </c>
      <c r="E206" s="32">
        <f>1155-E98</f>
        <v>405</v>
      </c>
      <c r="F206" s="70"/>
      <c r="G206" s="70">
        <f t="shared" si="11"/>
        <v>0</v>
      </c>
      <c r="H206" s="68" t="s">
        <v>15</v>
      </c>
      <c r="I206" s="79">
        <v>5</v>
      </c>
    </row>
    <row r="207" s="43" customFormat="1" ht="30" customHeight="1" spans="1:9">
      <c r="A207" s="57"/>
      <c r="B207" s="65" t="s">
        <v>198</v>
      </c>
      <c r="C207" s="59"/>
      <c r="D207" s="72"/>
      <c r="E207" s="73"/>
      <c r="F207" s="70"/>
      <c r="G207" s="70"/>
      <c r="H207" s="68"/>
      <c r="I207" s="79"/>
    </row>
    <row r="208" s="43" customFormat="1" ht="123.75" spans="1:9">
      <c r="A208" s="57">
        <v>1</v>
      </c>
      <c r="B208" s="30" t="s">
        <v>199</v>
      </c>
      <c r="C208" s="30" t="s">
        <v>246</v>
      </c>
      <c r="D208" s="32" t="s">
        <v>21</v>
      </c>
      <c r="E208" s="32">
        <f>11306.46-3163.69-E100</f>
        <v>2859.94</v>
      </c>
      <c r="F208" s="70"/>
      <c r="G208" s="70">
        <f t="shared" ref="G208:G215" si="12">F208*E208</f>
        <v>0</v>
      </c>
      <c r="H208" s="68" t="s">
        <v>15</v>
      </c>
      <c r="I208" s="79">
        <v>25</v>
      </c>
    </row>
    <row r="209" s="43" customFormat="1" ht="112.5" spans="1:9">
      <c r="A209" s="57">
        <v>2</v>
      </c>
      <c r="B209" s="30" t="s">
        <v>201</v>
      </c>
      <c r="C209" s="30" t="s">
        <v>200</v>
      </c>
      <c r="D209" s="32" t="s">
        <v>21</v>
      </c>
      <c r="E209" s="32">
        <f>3163.69-E101</f>
        <v>1345.68</v>
      </c>
      <c r="F209" s="70"/>
      <c r="G209" s="70">
        <f t="shared" si="12"/>
        <v>0</v>
      </c>
      <c r="H209" s="68" t="s">
        <v>15</v>
      </c>
      <c r="I209" s="79">
        <v>25</v>
      </c>
    </row>
    <row r="210" s="43" customFormat="1" ht="112.5" spans="1:9">
      <c r="A210" s="57">
        <v>3</v>
      </c>
      <c r="B210" s="30" t="s">
        <v>202</v>
      </c>
      <c r="C210" s="30" t="s">
        <v>203</v>
      </c>
      <c r="D210" s="32" t="s">
        <v>21</v>
      </c>
      <c r="E210" s="32">
        <f>458.82-E102</f>
        <v>39.36</v>
      </c>
      <c r="F210" s="70"/>
      <c r="G210" s="70">
        <f t="shared" si="12"/>
        <v>0</v>
      </c>
      <c r="H210" s="68" t="s">
        <v>15</v>
      </c>
      <c r="I210" s="79">
        <v>25</v>
      </c>
    </row>
    <row r="211" s="43" customFormat="1" ht="112.5" spans="1:9">
      <c r="A211" s="57">
        <v>4</v>
      </c>
      <c r="B211" s="30" t="s">
        <v>247</v>
      </c>
      <c r="C211" s="30" t="s">
        <v>205</v>
      </c>
      <c r="D211" s="32" t="s">
        <v>21</v>
      </c>
      <c r="E211" s="32">
        <f>17785.78-E103</f>
        <v>6573.97</v>
      </c>
      <c r="F211" s="70"/>
      <c r="G211" s="70">
        <f t="shared" si="12"/>
        <v>0</v>
      </c>
      <c r="H211" s="68" t="s">
        <v>15</v>
      </c>
      <c r="I211" s="79">
        <v>25</v>
      </c>
    </row>
    <row r="212" s="43" customFormat="1" ht="112.5" spans="1:9">
      <c r="A212" s="57">
        <v>5</v>
      </c>
      <c r="B212" s="30" t="s">
        <v>206</v>
      </c>
      <c r="C212" s="30" t="s">
        <v>207</v>
      </c>
      <c r="D212" s="32" t="s">
        <v>21</v>
      </c>
      <c r="E212" s="32">
        <f>202.63-E104</f>
        <v>39.88</v>
      </c>
      <c r="F212" s="70"/>
      <c r="G212" s="70">
        <f t="shared" si="12"/>
        <v>0</v>
      </c>
      <c r="H212" s="68" t="s">
        <v>15</v>
      </c>
      <c r="I212" s="79">
        <v>25</v>
      </c>
    </row>
    <row r="213" s="43" customFormat="1" ht="101.25" spans="1:9">
      <c r="A213" s="57">
        <v>6</v>
      </c>
      <c r="B213" s="30" t="s">
        <v>208</v>
      </c>
      <c r="C213" s="30" t="s">
        <v>209</v>
      </c>
      <c r="D213" s="32" t="s">
        <v>21</v>
      </c>
      <c r="E213" s="32">
        <f>213-E105</f>
        <v>67.58</v>
      </c>
      <c r="F213" s="70"/>
      <c r="G213" s="70">
        <f t="shared" si="12"/>
        <v>0</v>
      </c>
      <c r="H213" s="68" t="s">
        <v>15</v>
      </c>
      <c r="I213" s="79">
        <v>25</v>
      </c>
    </row>
    <row r="214" s="43" customFormat="1" ht="101.25" spans="1:9">
      <c r="A214" s="57">
        <v>7</v>
      </c>
      <c r="B214" s="30" t="s">
        <v>210</v>
      </c>
      <c r="C214" s="30" t="s">
        <v>211</v>
      </c>
      <c r="D214" s="32" t="s">
        <v>21</v>
      </c>
      <c r="E214" s="32">
        <f>3821.96-E106</f>
        <v>1117.38</v>
      </c>
      <c r="F214" s="70"/>
      <c r="G214" s="70">
        <f t="shared" si="12"/>
        <v>0</v>
      </c>
      <c r="H214" s="68" t="s">
        <v>15</v>
      </c>
      <c r="I214" s="79">
        <v>25</v>
      </c>
    </row>
    <row r="215" s="43" customFormat="1" ht="101.25" spans="1:9">
      <c r="A215" s="57">
        <v>8</v>
      </c>
      <c r="B215" s="30" t="s">
        <v>212</v>
      </c>
      <c r="C215" s="30" t="s">
        <v>213</v>
      </c>
      <c r="D215" s="32" t="s">
        <v>21</v>
      </c>
      <c r="E215" s="32">
        <f>48.78-E107</f>
        <v>47.78</v>
      </c>
      <c r="F215" s="70"/>
      <c r="G215" s="70">
        <f t="shared" si="12"/>
        <v>0</v>
      </c>
      <c r="H215" s="68" t="s">
        <v>15</v>
      </c>
      <c r="I215" s="79">
        <v>15</v>
      </c>
    </row>
    <row r="216" s="43" customFormat="1" ht="23" customHeight="1" spans="1:9">
      <c r="A216" s="57"/>
      <c r="B216" s="65" t="s">
        <v>214</v>
      </c>
      <c r="C216" s="71"/>
      <c r="D216" s="72"/>
      <c r="E216" s="73"/>
      <c r="F216" s="70"/>
      <c r="G216" s="70"/>
      <c r="H216" s="68"/>
      <c r="I216" s="79"/>
    </row>
    <row r="217" s="43" customFormat="1" ht="56.25" spans="1:9">
      <c r="A217" s="57">
        <v>1</v>
      </c>
      <c r="B217" s="30" t="s">
        <v>215</v>
      </c>
      <c r="C217" s="30" t="s">
        <v>216</v>
      </c>
      <c r="D217" s="32" t="s">
        <v>42</v>
      </c>
      <c r="E217" s="32">
        <f>88.5-E109</f>
        <v>27.25</v>
      </c>
      <c r="F217" s="70"/>
      <c r="G217" s="70">
        <f t="shared" ref="G217:G224" si="13">F217*E217</f>
        <v>0</v>
      </c>
      <c r="H217" s="68" t="s">
        <v>15</v>
      </c>
      <c r="I217" s="79">
        <v>10</v>
      </c>
    </row>
    <row r="218" s="43" customFormat="1" ht="101.25" spans="1:9">
      <c r="A218" s="57">
        <v>2</v>
      </c>
      <c r="B218" s="30" t="s">
        <v>217</v>
      </c>
      <c r="C218" s="30" t="s">
        <v>218</v>
      </c>
      <c r="D218" s="32" t="s">
        <v>42</v>
      </c>
      <c r="E218" s="32">
        <f>52.03-E110</f>
        <v>10.2</v>
      </c>
      <c r="F218" s="70"/>
      <c r="G218" s="70">
        <f t="shared" si="13"/>
        <v>0</v>
      </c>
      <c r="H218" s="68" t="s">
        <v>15</v>
      </c>
      <c r="I218" s="79">
        <v>240</v>
      </c>
    </row>
    <row r="219" s="43" customFormat="1" ht="101.25" spans="1:9">
      <c r="A219" s="57">
        <v>3</v>
      </c>
      <c r="B219" s="30" t="s">
        <v>219</v>
      </c>
      <c r="C219" s="30" t="s">
        <v>220</v>
      </c>
      <c r="D219" s="32" t="s">
        <v>21</v>
      </c>
      <c r="E219" s="32">
        <f>62.44-E111</f>
        <v>12.24</v>
      </c>
      <c r="F219" s="70"/>
      <c r="G219" s="70">
        <f t="shared" si="13"/>
        <v>0</v>
      </c>
      <c r="H219" s="68" t="s">
        <v>15</v>
      </c>
      <c r="I219" s="79">
        <v>120</v>
      </c>
    </row>
    <row r="220" s="43" customFormat="1" ht="123.75" spans="1:9">
      <c r="A220" s="57">
        <v>4</v>
      </c>
      <c r="B220" s="30" t="s">
        <v>221</v>
      </c>
      <c r="C220" s="30" t="s">
        <v>222</v>
      </c>
      <c r="D220" s="32" t="s">
        <v>42</v>
      </c>
      <c r="E220" s="32">
        <f>39.2-E112</f>
        <v>14</v>
      </c>
      <c r="F220" s="70"/>
      <c r="G220" s="70">
        <f t="shared" si="13"/>
        <v>0</v>
      </c>
      <c r="H220" s="68" t="s">
        <v>15</v>
      </c>
      <c r="I220" s="79">
        <v>240</v>
      </c>
    </row>
    <row r="221" s="43" customFormat="1" ht="56.25" spans="1:9">
      <c r="A221" s="57">
        <v>5</v>
      </c>
      <c r="B221" s="30" t="s">
        <v>223</v>
      </c>
      <c r="C221" s="30" t="s">
        <v>224</v>
      </c>
      <c r="D221" s="32" t="s">
        <v>174</v>
      </c>
      <c r="E221" s="32">
        <f>2-E113</f>
        <v>1</v>
      </c>
      <c r="F221" s="70"/>
      <c r="G221" s="70">
        <f t="shared" si="13"/>
        <v>0</v>
      </c>
      <c r="H221" s="68" t="s">
        <v>15</v>
      </c>
      <c r="I221" s="79">
        <v>30</v>
      </c>
    </row>
    <row r="222" s="43" customFormat="1" ht="56.25" spans="1:9">
      <c r="A222" s="57">
        <v>6</v>
      </c>
      <c r="B222" s="30" t="s">
        <v>225</v>
      </c>
      <c r="C222" s="30" t="s">
        <v>226</v>
      </c>
      <c r="D222" s="32" t="s">
        <v>174</v>
      </c>
      <c r="E222" s="32">
        <f>2-E114</f>
        <v>1</v>
      </c>
      <c r="F222" s="70"/>
      <c r="G222" s="70">
        <f t="shared" si="13"/>
        <v>0</v>
      </c>
      <c r="H222" s="68" t="s">
        <v>15</v>
      </c>
      <c r="I222" s="79">
        <v>30</v>
      </c>
    </row>
    <row r="223" s="43" customFormat="1" ht="135" spans="1:9">
      <c r="A223" s="57">
        <v>7</v>
      </c>
      <c r="B223" s="30" t="s">
        <v>227</v>
      </c>
      <c r="C223" s="30" t="s">
        <v>228</v>
      </c>
      <c r="D223" s="32" t="s">
        <v>42</v>
      </c>
      <c r="E223" s="32">
        <v>1</v>
      </c>
      <c r="F223" s="70"/>
      <c r="G223" s="70">
        <f t="shared" si="13"/>
        <v>0</v>
      </c>
      <c r="H223" s="68" t="s">
        <v>15</v>
      </c>
      <c r="I223" s="79">
        <v>80</v>
      </c>
    </row>
    <row r="224" s="43" customFormat="1" ht="157.5" spans="1:9">
      <c r="A224" s="57">
        <v>8</v>
      </c>
      <c r="B224" s="30" t="s">
        <v>229</v>
      </c>
      <c r="C224" s="30" t="s">
        <v>230</v>
      </c>
      <c r="D224" s="32" t="s">
        <v>42</v>
      </c>
      <c r="E224" s="32">
        <f>10.12-E116</f>
        <v>9.12</v>
      </c>
      <c r="F224" s="70"/>
      <c r="G224" s="70">
        <f t="shared" si="13"/>
        <v>0</v>
      </c>
      <c r="H224" s="68" t="s">
        <v>15</v>
      </c>
      <c r="I224" s="79">
        <v>1500</v>
      </c>
    </row>
    <row r="225" s="42" customFormat="1" ht="17" customHeight="1" spans="1:9">
      <c r="A225" s="84" t="s">
        <v>248</v>
      </c>
      <c r="B225" s="65" t="s">
        <v>249</v>
      </c>
      <c r="C225" s="59"/>
      <c r="D225" s="60"/>
      <c r="E225" s="85"/>
      <c r="F225" s="70"/>
      <c r="G225" s="82">
        <f>SUM(G226:G229)</f>
        <v>0</v>
      </c>
      <c r="H225" s="64"/>
      <c r="I225" s="88"/>
    </row>
    <row r="226" s="43" customFormat="1" ht="180" spans="1:9">
      <c r="A226" s="57">
        <v>1</v>
      </c>
      <c r="B226" s="30" t="s">
        <v>250</v>
      </c>
      <c r="C226" s="30" t="s">
        <v>251</v>
      </c>
      <c r="D226" s="32" t="s">
        <v>21</v>
      </c>
      <c r="E226" s="32">
        <v>390</v>
      </c>
      <c r="F226" s="70"/>
      <c r="G226" s="70">
        <f t="shared" ref="G226:G229" si="14">F226*E226</f>
        <v>0</v>
      </c>
      <c r="H226" s="68" t="s">
        <v>15</v>
      </c>
      <c r="I226" s="79">
        <v>20</v>
      </c>
    </row>
    <row r="227" s="43" customFormat="1" ht="90" spans="1:9">
      <c r="A227" s="75">
        <v>2</v>
      </c>
      <c r="B227" s="30" t="s">
        <v>252</v>
      </c>
      <c r="C227" s="30" t="s">
        <v>253</v>
      </c>
      <c r="D227" s="32" t="s">
        <v>21</v>
      </c>
      <c r="E227" s="32">
        <v>10004.8</v>
      </c>
      <c r="F227" s="70"/>
      <c r="G227" s="70">
        <f t="shared" si="14"/>
        <v>0</v>
      </c>
      <c r="H227" s="68" t="s">
        <v>15</v>
      </c>
      <c r="I227" s="79">
        <v>25</v>
      </c>
    </row>
    <row r="228" s="43" customFormat="1" ht="90" spans="1:9">
      <c r="A228" s="57">
        <v>3</v>
      </c>
      <c r="B228" s="30" t="s">
        <v>254</v>
      </c>
      <c r="C228" s="30" t="s">
        <v>253</v>
      </c>
      <c r="D228" s="32" t="s">
        <v>21</v>
      </c>
      <c r="E228" s="32">
        <v>1095</v>
      </c>
      <c r="F228" s="70"/>
      <c r="G228" s="70">
        <f t="shared" si="14"/>
        <v>0</v>
      </c>
      <c r="H228" s="68" t="s">
        <v>15</v>
      </c>
      <c r="I228" s="79">
        <v>25</v>
      </c>
    </row>
    <row r="229" s="43" customFormat="1" ht="90" spans="1:9">
      <c r="A229" s="57">
        <v>4</v>
      </c>
      <c r="B229" s="30" t="s">
        <v>255</v>
      </c>
      <c r="C229" s="30" t="s">
        <v>253</v>
      </c>
      <c r="D229" s="32" t="s">
        <v>21</v>
      </c>
      <c r="E229" s="32">
        <v>391</v>
      </c>
      <c r="F229" s="70"/>
      <c r="G229" s="70">
        <f t="shared" si="14"/>
        <v>0</v>
      </c>
      <c r="H229" s="68" t="s">
        <v>15</v>
      </c>
      <c r="I229" s="79">
        <v>25</v>
      </c>
    </row>
    <row r="230" s="42" customFormat="1" ht="19" customHeight="1" spans="1:9">
      <c r="A230" s="84" t="s">
        <v>256</v>
      </c>
      <c r="B230" s="65" t="s">
        <v>257</v>
      </c>
      <c r="C230" s="59"/>
      <c r="D230" s="60"/>
      <c r="E230" s="61"/>
      <c r="F230" s="70"/>
      <c r="G230" s="82">
        <f>SUM(G231:G275)</f>
        <v>0</v>
      </c>
      <c r="H230" s="64"/>
      <c r="I230" s="89"/>
    </row>
    <row r="231" s="43" customFormat="1" ht="56.25" spans="1:9">
      <c r="A231" s="57">
        <v>1</v>
      </c>
      <c r="B231" s="30" t="s">
        <v>258</v>
      </c>
      <c r="C231" s="30" t="s">
        <v>259</v>
      </c>
      <c r="D231" s="32" t="s">
        <v>260</v>
      </c>
      <c r="E231" s="86">
        <v>58</v>
      </c>
      <c r="F231" s="70"/>
      <c r="G231" s="70">
        <f t="shared" ref="G231:G275" si="15">F231*E231</f>
        <v>0</v>
      </c>
      <c r="H231" s="68" t="s">
        <v>15</v>
      </c>
      <c r="I231" s="79">
        <v>10</v>
      </c>
    </row>
    <row r="232" s="43" customFormat="1" ht="56.25" spans="1:9">
      <c r="A232" s="57">
        <v>2</v>
      </c>
      <c r="B232" s="30" t="s">
        <v>261</v>
      </c>
      <c r="C232" s="30" t="s">
        <v>262</v>
      </c>
      <c r="D232" s="32" t="s">
        <v>260</v>
      </c>
      <c r="E232" s="86">
        <v>87</v>
      </c>
      <c r="F232" s="70"/>
      <c r="G232" s="70">
        <f t="shared" si="15"/>
        <v>0</v>
      </c>
      <c r="H232" s="68" t="s">
        <v>15</v>
      </c>
      <c r="I232" s="79">
        <v>10</v>
      </c>
    </row>
    <row r="233" s="43" customFormat="1" ht="56.25" spans="1:9">
      <c r="A233" s="57">
        <v>3</v>
      </c>
      <c r="B233" s="30" t="s">
        <v>263</v>
      </c>
      <c r="C233" s="30" t="s">
        <v>264</v>
      </c>
      <c r="D233" s="32" t="s">
        <v>260</v>
      </c>
      <c r="E233" s="86">
        <v>155</v>
      </c>
      <c r="F233" s="70"/>
      <c r="G233" s="70">
        <f t="shared" si="15"/>
        <v>0</v>
      </c>
      <c r="H233" s="68" t="s">
        <v>15</v>
      </c>
      <c r="I233" s="79">
        <v>10</v>
      </c>
    </row>
    <row r="234" s="43" customFormat="1" ht="56.25" spans="1:9">
      <c r="A234" s="57">
        <v>4</v>
      </c>
      <c r="B234" s="30" t="s">
        <v>265</v>
      </c>
      <c r="C234" s="30" t="s">
        <v>266</v>
      </c>
      <c r="D234" s="32" t="s">
        <v>260</v>
      </c>
      <c r="E234" s="86">
        <v>18</v>
      </c>
      <c r="F234" s="70"/>
      <c r="G234" s="70">
        <f t="shared" si="15"/>
        <v>0</v>
      </c>
      <c r="H234" s="68" t="s">
        <v>15</v>
      </c>
      <c r="I234" s="79">
        <v>10</v>
      </c>
    </row>
    <row r="235" s="43" customFormat="1" ht="56.25" spans="1:9">
      <c r="A235" s="57">
        <v>5</v>
      </c>
      <c r="B235" s="30" t="s">
        <v>267</v>
      </c>
      <c r="C235" s="30" t="s">
        <v>268</v>
      </c>
      <c r="D235" s="32" t="s">
        <v>260</v>
      </c>
      <c r="E235" s="86">
        <v>467</v>
      </c>
      <c r="F235" s="70"/>
      <c r="G235" s="70">
        <f t="shared" si="15"/>
        <v>0</v>
      </c>
      <c r="H235" s="68" t="s">
        <v>15</v>
      </c>
      <c r="I235" s="79">
        <v>10</v>
      </c>
    </row>
    <row r="236" s="43" customFormat="1" ht="56.25" spans="1:9">
      <c r="A236" s="57">
        <v>6</v>
      </c>
      <c r="B236" s="30" t="s">
        <v>269</v>
      </c>
      <c r="C236" s="30" t="s">
        <v>270</v>
      </c>
      <c r="D236" s="32" t="s">
        <v>260</v>
      </c>
      <c r="E236" s="86">
        <v>98</v>
      </c>
      <c r="F236" s="70"/>
      <c r="G236" s="70">
        <f t="shared" si="15"/>
        <v>0</v>
      </c>
      <c r="H236" s="68" t="s">
        <v>15</v>
      </c>
      <c r="I236" s="79">
        <v>10</v>
      </c>
    </row>
    <row r="237" s="43" customFormat="1" ht="56.25" spans="1:9">
      <c r="A237" s="57">
        <v>7</v>
      </c>
      <c r="B237" s="30" t="s">
        <v>271</v>
      </c>
      <c r="C237" s="30" t="s">
        <v>272</v>
      </c>
      <c r="D237" s="32" t="s">
        <v>260</v>
      </c>
      <c r="E237" s="86">
        <v>68</v>
      </c>
      <c r="F237" s="70"/>
      <c r="G237" s="70">
        <f t="shared" si="15"/>
        <v>0</v>
      </c>
      <c r="H237" s="68" t="s">
        <v>15</v>
      </c>
      <c r="I237" s="79">
        <v>10</v>
      </c>
    </row>
    <row r="238" s="43" customFormat="1" ht="56.25" spans="1:9">
      <c r="A238" s="57">
        <v>8</v>
      </c>
      <c r="B238" s="30" t="s">
        <v>273</v>
      </c>
      <c r="C238" s="30" t="s">
        <v>274</v>
      </c>
      <c r="D238" s="32" t="s">
        <v>260</v>
      </c>
      <c r="E238" s="86">
        <v>21</v>
      </c>
      <c r="F238" s="70"/>
      <c r="G238" s="70">
        <f t="shared" si="15"/>
        <v>0</v>
      </c>
      <c r="H238" s="68" t="s">
        <v>15</v>
      </c>
      <c r="I238" s="79">
        <v>30</v>
      </c>
    </row>
    <row r="239" s="43" customFormat="1" ht="56.25" spans="1:9">
      <c r="A239" s="57">
        <v>9</v>
      </c>
      <c r="B239" s="30" t="s">
        <v>275</v>
      </c>
      <c r="C239" s="30" t="s">
        <v>276</v>
      </c>
      <c r="D239" s="32" t="s">
        <v>260</v>
      </c>
      <c r="E239" s="86">
        <v>18</v>
      </c>
      <c r="F239" s="70"/>
      <c r="G239" s="70">
        <f t="shared" si="15"/>
        <v>0</v>
      </c>
      <c r="H239" s="68" t="s">
        <v>15</v>
      </c>
      <c r="I239" s="79">
        <v>10</v>
      </c>
    </row>
    <row r="240" s="43" customFormat="1" ht="56.25" spans="1:9">
      <c r="A240" s="57">
        <v>10</v>
      </c>
      <c r="B240" s="30" t="s">
        <v>277</v>
      </c>
      <c r="C240" s="30" t="s">
        <v>278</v>
      </c>
      <c r="D240" s="32" t="s">
        <v>42</v>
      </c>
      <c r="E240" s="87">
        <v>1033.637</v>
      </c>
      <c r="F240" s="70"/>
      <c r="G240" s="70">
        <f t="shared" si="15"/>
        <v>0</v>
      </c>
      <c r="H240" s="68" t="s">
        <v>15</v>
      </c>
      <c r="I240" s="79">
        <v>12</v>
      </c>
    </row>
    <row r="241" s="43" customFormat="1" ht="56.25" spans="1:9">
      <c r="A241" s="57">
        <v>11</v>
      </c>
      <c r="B241" s="30" t="s">
        <v>279</v>
      </c>
      <c r="C241" s="30" t="s">
        <v>280</v>
      </c>
      <c r="D241" s="32" t="s">
        <v>260</v>
      </c>
      <c r="E241" s="86">
        <v>82</v>
      </c>
      <c r="F241" s="70"/>
      <c r="G241" s="70">
        <f t="shared" si="15"/>
        <v>0</v>
      </c>
      <c r="H241" s="68" t="s">
        <v>15</v>
      </c>
      <c r="I241" s="79">
        <v>10</v>
      </c>
    </row>
    <row r="242" s="43" customFormat="1" ht="56.25" spans="1:9">
      <c r="A242" s="57">
        <v>12</v>
      </c>
      <c r="B242" s="30" t="s">
        <v>281</v>
      </c>
      <c r="C242" s="30" t="s">
        <v>272</v>
      </c>
      <c r="D242" s="32" t="s">
        <v>260</v>
      </c>
      <c r="E242" s="86">
        <v>333</v>
      </c>
      <c r="F242" s="70"/>
      <c r="G242" s="70">
        <f t="shared" si="15"/>
        <v>0</v>
      </c>
      <c r="H242" s="68" t="s">
        <v>15</v>
      </c>
      <c r="I242" s="79">
        <v>10</v>
      </c>
    </row>
    <row r="243" s="43" customFormat="1" ht="56.25" spans="1:9">
      <c r="A243" s="57">
        <v>13</v>
      </c>
      <c r="B243" s="30" t="s">
        <v>282</v>
      </c>
      <c r="C243" s="30" t="s">
        <v>283</v>
      </c>
      <c r="D243" s="32" t="s">
        <v>260</v>
      </c>
      <c r="E243" s="86">
        <v>26</v>
      </c>
      <c r="F243" s="70"/>
      <c r="G243" s="70">
        <f t="shared" si="15"/>
        <v>0</v>
      </c>
      <c r="H243" s="68" t="s">
        <v>15</v>
      </c>
      <c r="I243" s="79">
        <v>10</v>
      </c>
    </row>
    <row r="244" s="43" customFormat="1" ht="56.25" spans="1:9">
      <c r="A244" s="57">
        <v>14</v>
      </c>
      <c r="B244" s="30" t="s">
        <v>284</v>
      </c>
      <c r="C244" s="30" t="s">
        <v>285</v>
      </c>
      <c r="D244" s="32" t="s">
        <v>260</v>
      </c>
      <c r="E244" s="86">
        <v>389</v>
      </c>
      <c r="F244" s="70"/>
      <c r="G244" s="70">
        <f t="shared" si="15"/>
        <v>0</v>
      </c>
      <c r="H244" s="68" t="s">
        <v>15</v>
      </c>
      <c r="I244" s="79">
        <v>10</v>
      </c>
    </row>
    <row r="245" s="43" customFormat="1" ht="56.25" spans="1:9">
      <c r="A245" s="57">
        <v>15</v>
      </c>
      <c r="B245" s="30" t="s">
        <v>286</v>
      </c>
      <c r="C245" s="30" t="s">
        <v>287</v>
      </c>
      <c r="D245" s="32" t="s">
        <v>260</v>
      </c>
      <c r="E245" s="86">
        <v>1</v>
      </c>
      <c r="F245" s="70"/>
      <c r="G245" s="70">
        <f t="shared" si="15"/>
        <v>0</v>
      </c>
      <c r="H245" s="68" t="s">
        <v>15</v>
      </c>
      <c r="I245" s="79">
        <v>800</v>
      </c>
    </row>
    <row r="246" s="43" customFormat="1" ht="56.25" spans="1:9">
      <c r="A246" s="57">
        <v>16</v>
      </c>
      <c r="B246" s="30" t="s">
        <v>288</v>
      </c>
      <c r="C246" s="30" t="s">
        <v>289</v>
      </c>
      <c r="D246" s="32" t="s">
        <v>260</v>
      </c>
      <c r="E246" s="86">
        <v>3</v>
      </c>
      <c r="F246" s="70"/>
      <c r="G246" s="70">
        <f t="shared" si="15"/>
        <v>0</v>
      </c>
      <c r="H246" s="68" t="s">
        <v>15</v>
      </c>
      <c r="I246" s="79">
        <v>10</v>
      </c>
    </row>
    <row r="247" s="43" customFormat="1" ht="67.5" spans="1:9">
      <c r="A247" s="57">
        <v>17</v>
      </c>
      <c r="B247" s="30" t="s">
        <v>290</v>
      </c>
      <c r="C247" s="30" t="s">
        <v>291</v>
      </c>
      <c r="D247" s="32" t="s">
        <v>174</v>
      </c>
      <c r="E247" s="86">
        <v>53</v>
      </c>
      <c r="F247" s="70"/>
      <c r="G247" s="70">
        <f t="shared" si="15"/>
        <v>0</v>
      </c>
      <c r="H247" s="68" t="s">
        <v>15</v>
      </c>
      <c r="I247" s="79">
        <v>10</v>
      </c>
    </row>
    <row r="248" s="43" customFormat="1" ht="67.5" spans="1:9">
      <c r="A248" s="57">
        <v>18</v>
      </c>
      <c r="B248" s="30" t="s">
        <v>292</v>
      </c>
      <c r="C248" s="30" t="s">
        <v>291</v>
      </c>
      <c r="D248" s="32" t="s">
        <v>174</v>
      </c>
      <c r="E248" s="86">
        <v>74</v>
      </c>
      <c r="F248" s="70"/>
      <c r="G248" s="70">
        <f t="shared" si="15"/>
        <v>0</v>
      </c>
      <c r="H248" s="68" t="s">
        <v>15</v>
      </c>
      <c r="I248" s="79">
        <v>10</v>
      </c>
    </row>
    <row r="249" s="43" customFormat="1" ht="67.5" spans="1:9">
      <c r="A249" s="57">
        <v>19</v>
      </c>
      <c r="B249" s="30" t="s">
        <v>293</v>
      </c>
      <c r="C249" s="30" t="s">
        <v>291</v>
      </c>
      <c r="D249" s="32" t="s">
        <v>174</v>
      </c>
      <c r="E249" s="86">
        <v>41</v>
      </c>
      <c r="F249" s="70"/>
      <c r="G249" s="70">
        <f t="shared" si="15"/>
        <v>0</v>
      </c>
      <c r="H249" s="68" t="s">
        <v>15</v>
      </c>
      <c r="I249" s="79">
        <v>10</v>
      </c>
    </row>
    <row r="250" s="43" customFormat="1" ht="67.5" spans="1:9">
      <c r="A250" s="57">
        <v>20</v>
      </c>
      <c r="B250" s="30" t="s">
        <v>294</v>
      </c>
      <c r="C250" s="30" t="s">
        <v>291</v>
      </c>
      <c r="D250" s="32" t="s">
        <v>174</v>
      </c>
      <c r="E250" s="86">
        <v>2</v>
      </c>
      <c r="F250" s="70"/>
      <c r="G250" s="70">
        <f t="shared" si="15"/>
        <v>0</v>
      </c>
      <c r="H250" s="68" t="s">
        <v>15</v>
      </c>
      <c r="I250" s="79">
        <v>10</v>
      </c>
    </row>
    <row r="251" s="43" customFormat="1" ht="67.5" spans="1:9">
      <c r="A251" s="57">
        <v>21</v>
      </c>
      <c r="B251" s="30" t="s">
        <v>295</v>
      </c>
      <c r="C251" s="30" t="s">
        <v>291</v>
      </c>
      <c r="D251" s="32" t="s">
        <v>174</v>
      </c>
      <c r="E251" s="86">
        <v>35</v>
      </c>
      <c r="F251" s="70"/>
      <c r="G251" s="70">
        <f t="shared" si="15"/>
        <v>0</v>
      </c>
      <c r="H251" s="68" t="s">
        <v>15</v>
      </c>
      <c r="I251" s="79">
        <v>10</v>
      </c>
    </row>
    <row r="252" s="43" customFormat="1" ht="67.5" spans="1:9">
      <c r="A252" s="57">
        <v>22</v>
      </c>
      <c r="B252" s="30" t="s">
        <v>296</v>
      </c>
      <c r="C252" s="30" t="s">
        <v>291</v>
      </c>
      <c r="D252" s="32" t="s">
        <v>174</v>
      </c>
      <c r="E252" s="86">
        <v>65</v>
      </c>
      <c r="F252" s="70"/>
      <c r="G252" s="70">
        <f t="shared" si="15"/>
        <v>0</v>
      </c>
      <c r="H252" s="68" t="s">
        <v>15</v>
      </c>
      <c r="I252" s="79">
        <v>10</v>
      </c>
    </row>
    <row r="253" s="43" customFormat="1" ht="67.5" spans="1:9">
      <c r="A253" s="57">
        <v>23</v>
      </c>
      <c r="B253" s="30" t="s">
        <v>297</v>
      </c>
      <c r="C253" s="30" t="s">
        <v>291</v>
      </c>
      <c r="D253" s="32" t="s">
        <v>174</v>
      </c>
      <c r="E253" s="86">
        <v>14</v>
      </c>
      <c r="F253" s="70"/>
      <c r="G253" s="70">
        <f t="shared" si="15"/>
        <v>0</v>
      </c>
      <c r="H253" s="68" t="s">
        <v>15</v>
      </c>
      <c r="I253" s="79">
        <v>10</v>
      </c>
    </row>
    <row r="254" s="43" customFormat="1" ht="67.5" spans="1:9">
      <c r="A254" s="57">
        <v>24</v>
      </c>
      <c r="B254" s="30" t="s">
        <v>298</v>
      </c>
      <c r="C254" s="30" t="s">
        <v>291</v>
      </c>
      <c r="D254" s="32" t="s">
        <v>174</v>
      </c>
      <c r="E254" s="86">
        <v>43</v>
      </c>
      <c r="F254" s="70"/>
      <c r="G254" s="70">
        <f t="shared" si="15"/>
        <v>0</v>
      </c>
      <c r="H254" s="68" t="s">
        <v>15</v>
      </c>
      <c r="I254" s="79">
        <v>10</v>
      </c>
    </row>
    <row r="255" s="43" customFormat="1" ht="67.5" spans="1:9">
      <c r="A255" s="57">
        <v>25</v>
      </c>
      <c r="B255" s="30" t="s">
        <v>299</v>
      </c>
      <c r="C255" s="30" t="s">
        <v>291</v>
      </c>
      <c r="D255" s="32" t="s">
        <v>174</v>
      </c>
      <c r="E255" s="86">
        <v>962</v>
      </c>
      <c r="F255" s="70"/>
      <c r="G255" s="70">
        <f t="shared" si="15"/>
        <v>0</v>
      </c>
      <c r="H255" s="68" t="s">
        <v>15</v>
      </c>
      <c r="I255" s="79">
        <v>10</v>
      </c>
    </row>
    <row r="256" s="43" customFormat="1" ht="67.5" spans="1:9">
      <c r="A256" s="57">
        <v>26</v>
      </c>
      <c r="B256" s="30" t="s">
        <v>300</v>
      </c>
      <c r="C256" s="30" t="s">
        <v>291</v>
      </c>
      <c r="D256" s="32" t="s">
        <v>174</v>
      </c>
      <c r="E256" s="86">
        <v>95</v>
      </c>
      <c r="F256" s="70"/>
      <c r="G256" s="70">
        <f t="shared" si="15"/>
        <v>0</v>
      </c>
      <c r="H256" s="68" t="s">
        <v>15</v>
      </c>
      <c r="I256" s="79">
        <v>15</v>
      </c>
    </row>
    <row r="257" s="43" customFormat="1" ht="67.5" spans="1:9">
      <c r="A257" s="57">
        <v>27</v>
      </c>
      <c r="B257" s="30" t="s">
        <v>301</v>
      </c>
      <c r="C257" s="30" t="s">
        <v>291</v>
      </c>
      <c r="D257" s="32" t="s">
        <v>174</v>
      </c>
      <c r="E257" s="86">
        <v>29</v>
      </c>
      <c r="F257" s="70"/>
      <c r="G257" s="70">
        <f t="shared" si="15"/>
        <v>0</v>
      </c>
      <c r="H257" s="68" t="s">
        <v>15</v>
      </c>
      <c r="I257" s="79">
        <v>10</v>
      </c>
    </row>
    <row r="258" s="43" customFormat="1" ht="67.5" spans="1:9">
      <c r="A258" s="57">
        <v>28</v>
      </c>
      <c r="B258" s="30" t="s">
        <v>302</v>
      </c>
      <c r="C258" s="30" t="s">
        <v>291</v>
      </c>
      <c r="D258" s="32" t="s">
        <v>174</v>
      </c>
      <c r="E258" s="86">
        <v>50</v>
      </c>
      <c r="F258" s="70"/>
      <c r="G258" s="70">
        <f t="shared" si="15"/>
        <v>0</v>
      </c>
      <c r="H258" s="68" t="s">
        <v>15</v>
      </c>
      <c r="I258" s="79">
        <v>10</v>
      </c>
    </row>
    <row r="259" s="43" customFormat="1" ht="56.25" spans="1:9">
      <c r="A259" s="57">
        <v>29</v>
      </c>
      <c r="B259" s="30" t="s">
        <v>303</v>
      </c>
      <c r="C259" s="30" t="s">
        <v>304</v>
      </c>
      <c r="D259" s="32" t="s">
        <v>174</v>
      </c>
      <c r="E259" s="86">
        <v>1462</v>
      </c>
      <c r="F259" s="70"/>
      <c r="G259" s="70">
        <f t="shared" si="15"/>
        <v>0</v>
      </c>
      <c r="H259" s="68" t="s">
        <v>15</v>
      </c>
      <c r="I259" s="79">
        <v>5</v>
      </c>
    </row>
    <row r="260" s="43" customFormat="1" ht="56.25" spans="1:9">
      <c r="A260" s="57">
        <v>30</v>
      </c>
      <c r="B260" s="30" t="s">
        <v>305</v>
      </c>
      <c r="C260" s="30" t="s">
        <v>304</v>
      </c>
      <c r="D260" s="32" t="s">
        <v>174</v>
      </c>
      <c r="E260" s="86">
        <v>1934</v>
      </c>
      <c r="F260" s="70"/>
      <c r="G260" s="70">
        <f t="shared" si="15"/>
        <v>0</v>
      </c>
      <c r="H260" s="68" t="s">
        <v>15</v>
      </c>
      <c r="I260" s="79">
        <v>5</v>
      </c>
    </row>
    <row r="261" s="43" customFormat="1" ht="56.25" spans="1:9">
      <c r="A261" s="57">
        <v>31</v>
      </c>
      <c r="B261" s="30" t="s">
        <v>306</v>
      </c>
      <c r="C261" s="30" t="s">
        <v>307</v>
      </c>
      <c r="D261" s="32" t="s">
        <v>308</v>
      </c>
      <c r="E261" s="86">
        <v>47</v>
      </c>
      <c r="F261" s="70"/>
      <c r="G261" s="70">
        <f t="shared" si="15"/>
        <v>0</v>
      </c>
      <c r="H261" s="68" t="s">
        <v>15</v>
      </c>
      <c r="I261" s="79">
        <v>50</v>
      </c>
    </row>
    <row r="262" s="43" customFormat="1" ht="56.25" spans="1:9">
      <c r="A262" s="57">
        <v>32</v>
      </c>
      <c r="B262" s="30" t="s">
        <v>309</v>
      </c>
      <c r="C262" s="30" t="s">
        <v>310</v>
      </c>
      <c r="D262" s="32" t="s">
        <v>308</v>
      </c>
      <c r="E262" s="86">
        <v>26</v>
      </c>
      <c r="F262" s="70"/>
      <c r="G262" s="70">
        <f t="shared" si="15"/>
        <v>0</v>
      </c>
      <c r="H262" s="68" t="s">
        <v>15</v>
      </c>
      <c r="I262" s="79">
        <v>80</v>
      </c>
    </row>
    <row r="263" s="43" customFormat="1" ht="101.25" spans="1:9">
      <c r="A263" s="57">
        <v>33</v>
      </c>
      <c r="B263" s="30" t="s">
        <v>311</v>
      </c>
      <c r="C263" s="30" t="s">
        <v>312</v>
      </c>
      <c r="D263" s="32" t="s">
        <v>42</v>
      </c>
      <c r="E263" s="87">
        <v>9895.3635</v>
      </c>
      <c r="F263" s="70"/>
      <c r="G263" s="70">
        <f t="shared" si="15"/>
        <v>0</v>
      </c>
      <c r="H263" s="68" t="s">
        <v>15</v>
      </c>
      <c r="I263" s="79">
        <v>8.5</v>
      </c>
    </row>
    <row r="264" s="43" customFormat="1" ht="101.25" spans="1:9">
      <c r="A264" s="57">
        <v>34</v>
      </c>
      <c r="B264" s="30" t="s">
        <v>313</v>
      </c>
      <c r="C264" s="30" t="s">
        <v>314</v>
      </c>
      <c r="D264" s="32" t="s">
        <v>42</v>
      </c>
      <c r="E264" s="87">
        <v>1345.124</v>
      </c>
      <c r="F264" s="70"/>
      <c r="G264" s="70">
        <f t="shared" si="15"/>
        <v>0</v>
      </c>
      <c r="H264" s="68" t="s">
        <v>15</v>
      </c>
      <c r="I264" s="79">
        <v>8.5</v>
      </c>
    </row>
    <row r="265" s="43" customFormat="1" ht="101.25" spans="1:9">
      <c r="A265" s="57">
        <v>35</v>
      </c>
      <c r="B265" s="30" t="s">
        <v>315</v>
      </c>
      <c r="C265" s="30" t="s">
        <v>316</v>
      </c>
      <c r="D265" s="32" t="s">
        <v>42</v>
      </c>
      <c r="E265" s="87">
        <v>1454.23</v>
      </c>
      <c r="F265" s="70"/>
      <c r="G265" s="70">
        <f t="shared" si="15"/>
        <v>0</v>
      </c>
      <c r="H265" s="68" t="s">
        <v>15</v>
      </c>
      <c r="I265" s="79">
        <v>8.5</v>
      </c>
    </row>
    <row r="266" s="43" customFormat="1" ht="101.25" spans="1:9">
      <c r="A266" s="57">
        <v>36</v>
      </c>
      <c r="B266" s="30" t="s">
        <v>317</v>
      </c>
      <c r="C266" s="30" t="s">
        <v>318</v>
      </c>
      <c r="D266" s="32" t="s">
        <v>42</v>
      </c>
      <c r="E266" s="87">
        <v>1741.058</v>
      </c>
      <c r="F266" s="70"/>
      <c r="G266" s="70">
        <f t="shared" si="15"/>
        <v>0</v>
      </c>
      <c r="H266" s="68" t="s">
        <v>15</v>
      </c>
      <c r="I266" s="79">
        <v>8.5</v>
      </c>
    </row>
    <row r="267" s="43" customFormat="1" ht="101.25" spans="1:9">
      <c r="A267" s="57">
        <v>37</v>
      </c>
      <c r="B267" s="30" t="s">
        <v>319</v>
      </c>
      <c r="C267" s="30" t="s">
        <v>320</v>
      </c>
      <c r="D267" s="32" t="s">
        <v>42</v>
      </c>
      <c r="E267" s="87">
        <v>18.425</v>
      </c>
      <c r="F267" s="70"/>
      <c r="G267" s="70">
        <f t="shared" si="15"/>
        <v>0</v>
      </c>
      <c r="H267" s="68" t="s">
        <v>15</v>
      </c>
      <c r="I267" s="79">
        <v>8.5</v>
      </c>
    </row>
    <row r="268" s="43" customFormat="1" ht="67.5" spans="1:9">
      <c r="A268" s="57">
        <v>38</v>
      </c>
      <c r="B268" s="30" t="s">
        <v>321</v>
      </c>
      <c r="C268" s="30" t="s">
        <v>322</v>
      </c>
      <c r="D268" s="32" t="s">
        <v>42</v>
      </c>
      <c r="E268" s="87">
        <v>164.5215</v>
      </c>
      <c r="F268" s="70"/>
      <c r="G268" s="70">
        <f t="shared" si="15"/>
        <v>0</v>
      </c>
      <c r="H268" s="68" t="s">
        <v>15</v>
      </c>
      <c r="I268" s="79">
        <v>2</v>
      </c>
    </row>
    <row r="269" s="43" customFormat="1" ht="67.5" spans="1:9">
      <c r="A269" s="57">
        <v>39</v>
      </c>
      <c r="B269" s="30" t="s">
        <v>323</v>
      </c>
      <c r="C269" s="30" t="s">
        <v>322</v>
      </c>
      <c r="D269" s="32" t="s">
        <v>42</v>
      </c>
      <c r="E269" s="87">
        <v>0.1485</v>
      </c>
      <c r="F269" s="70"/>
      <c r="G269" s="70">
        <f t="shared" si="15"/>
        <v>0</v>
      </c>
      <c r="H269" s="68" t="s">
        <v>15</v>
      </c>
      <c r="I269" s="79">
        <v>2</v>
      </c>
    </row>
    <row r="270" s="43" customFormat="1" ht="67.5" spans="1:9">
      <c r="A270" s="57">
        <v>40</v>
      </c>
      <c r="B270" s="30" t="s">
        <v>324</v>
      </c>
      <c r="C270" s="30" t="s">
        <v>325</v>
      </c>
      <c r="D270" s="32" t="s">
        <v>42</v>
      </c>
      <c r="E270" s="87">
        <v>46883.3475</v>
      </c>
      <c r="F270" s="70"/>
      <c r="G270" s="70">
        <f t="shared" si="15"/>
        <v>0</v>
      </c>
      <c r="H270" s="68" t="s">
        <v>15</v>
      </c>
      <c r="I270" s="79">
        <v>2</v>
      </c>
    </row>
    <row r="271" s="43" customFormat="1" ht="67.5" spans="1:9">
      <c r="A271" s="57">
        <v>41</v>
      </c>
      <c r="B271" s="30" t="s">
        <v>326</v>
      </c>
      <c r="C271" s="30" t="s">
        <v>327</v>
      </c>
      <c r="D271" s="32" t="s">
        <v>42</v>
      </c>
      <c r="E271" s="87">
        <v>8337.3015</v>
      </c>
      <c r="F271" s="70"/>
      <c r="G271" s="70">
        <f t="shared" si="15"/>
        <v>0</v>
      </c>
      <c r="H271" s="68" t="s">
        <v>15</v>
      </c>
      <c r="I271" s="79">
        <v>2</v>
      </c>
    </row>
    <row r="272" s="43" customFormat="1" ht="67.5" spans="1:9">
      <c r="A272" s="57">
        <v>42</v>
      </c>
      <c r="B272" s="30" t="s">
        <v>328</v>
      </c>
      <c r="C272" s="30" t="s">
        <v>329</v>
      </c>
      <c r="D272" s="32" t="s">
        <v>42</v>
      </c>
      <c r="E272" s="87">
        <v>56.76</v>
      </c>
      <c r="F272" s="70"/>
      <c r="G272" s="70">
        <f t="shared" si="15"/>
        <v>0</v>
      </c>
      <c r="H272" s="68" t="s">
        <v>15</v>
      </c>
      <c r="I272" s="79">
        <v>2</v>
      </c>
    </row>
    <row r="273" s="43" customFormat="1" ht="67.5" spans="1:9">
      <c r="A273" s="57">
        <v>43</v>
      </c>
      <c r="B273" s="30" t="s">
        <v>330</v>
      </c>
      <c r="C273" s="30" t="s">
        <v>331</v>
      </c>
      <c r="D273" s="32" t="s">
        <v>42</v>
      </c>
      <c r="E273" s="87">
        <v>559.4435</v>
      </c>
      <c r="F273" s="70"/>
      <c r="G273" s="70">
        <f t="shared" si="15"/>
        <v>0</v>
      </c>
      <c r="H273" s="68" t="s">
        <v>15</v>
      </c>
      <c r="I273" s="79">
        <v>2</v>
      </c>
    </row>
    <row r="274" s="43" customFormat="1" ht="67.5" spans="1:9">
      <c r="A274" s="57">
        <v>44</v>
      </c>
      <c r="B274" s="30" t="s">
        <v>332</v>
      </c>
      <c r="C274" s="30" t="s">
        <v>333</v>
      </c>
      <c r="D274" s="32" t="s">
        <v>42</v>
      </c>
      <c r="E274" s="87">
        <v>439.527</v>
      </c>
      <c r="F274" s="70"/>
      <c r="G274" s="70">
        <f t="shared" si="15"/>
        <v>0</v>
      </c>
      <c r="H274" s="68" t="s">
        <v>15</v>
      </c>
      <c r="I274" s="79">
        <v>2</v>
      </c>
    </row>
    <row r="275" s="43" customFormat="1" ht="33" customHeight="1" spans="1:9">
      <c r="A275" s="57">
        <v>45</v>
      </c>
      <c r="B275" s="30" t="s">
        <v>334</v>
      </c>
      <c r="C275" s="30"/>
      <c r="D275" s="32" t="s">
        <v>42</v>
      </c>
      <c r="E275" s="87">
        <v>914.76</v>
      </c>
      <c r="F275" s="70"/>
      <c r="G275" s="70">
        <f t="shared" si="15"/>
        <v>0</v>
      </c>
      <c r="H275" s="68" t="s">
        <v>15</v>
      </c>
      <c r="I275" s="79">
        <v>18</v>
      </c>
    </row>
    <row r="276" s="42" customFormat="1" ht="21" customHeight="1" spans="1:9">
      <c r="A276" s="84" t="s">
        <v>335</v>
      </c>
      <c r="B276" s="65" t="s">
        <v>336</v>
      </c>
      <c r="C276" s="59"/>
      <c r="D276" s="90"/>
      <c r="E276" s="81"/>
      <c r="F276" s="70"/>
      <c r="G276" s="82">
        <f>SUM(G277:G318)</f>
        <v>0</v>
      </c>
      <c r="H276" s="64"/>
      <c r="I276" s="83"/>
    </row>
    <row r="277" s="43" customFormat="1" ht="56.25" spans="1:9">
      <c r="A277" s="57">
        <v>1</v>
      </c>
      <c r="B277" s="30" t="s">
        <v>258</v>
      </c>
      <c r="C277" s="30" t="s">
        <v>259</v>
      </c>
      <c r="D277" s="32" t="s">
        <v>260</v>
      </c>
      <c r="E277" s="86">
        <v>47</v>
      </c>
      <c r="F277" s="70"/>
      <c r="G277" s="70">
        <f t="shared" ref="G277:G318" si="16">F277*E277</f>
        <v>0</v>
      </c>
      <c r="H277" s="68" t="s">
        <v>15</v>
      </c>
      <c r="I277" s="79">
        <v>10</v>
      </c>
    </row>
    <row r="278" s="43" customFormat="1" ht="56.25" spans="1:9">
      <c r="A278" s="57">
        <v>2</v>
      </c>
      <c r="B278" s="30" t="s">
        <v>261</v>
      </c>
      <c r="C278" s="30" t="s">
        <v>262</v>
      </c>
      <c r="D278" s="32" t="s">
        <v>260</v>
      </c>
      <c r="E278" s="86">
        <v>71</v>
      </c>
      <c r="F278" s="70"/>
      <c r="G278" s="70">
        <f t="shared" si="16"/>
        <v>0</v>
      </c>
      <c r="H278" s="68" t="s">
        <v>15</v>
      </c>
      <c r="I278" s="79">
        <v>10</v>
      </c>
    </row>
    <row r="279" s="43" customFormat="1" ht="56.25" spans="1:9">
      <c r="A279" s="57">
        <v>3</v>
      </c>
      <c r="B279" s="30" t="s">
        <v>263</v>
      </c>
      <c r="C279" s="30" t="s">
        <v>264</v>
      </c>
      <c r="D279" s="32" t="s">
        <v>260</v>
      </c>
      <c r="E279" s="86">
        <v>126</v>
      </c>
      <c r="F279" s="70"/>
      <c r="G279" s="70">
        <f t="shared" si="16"/>
        <v>0</v>
      </c>
      <c r="H279" s="68" t="s">
        <v>15</v>
      </c>
      <c r="I279" s="79">
        <v>10</v>
      </c>
    </row>
    <row r="280" s="43" customFormat="1" ht="56.25" spans="1:9">
      <c r="A280" s="57">
        <v>4</v>
      </c>
      <c r="B280" s="30" t="s">
        <v>265</v>
      </c>
      <c r="C280" s="30" t="s">
        <v>266</v>
      </c>
      <c r="D280" s="32" t="s">
        <v>260</v>
      </c>
      <c r="E280" s="86">
        <v>14</v>
      </c>
      <c r="F280" s="70"/>
      <c r="G280" s="70">
        <f t="shared" si="16"/>
        <v>0</v>
      </c>
      <c r="H280" s="68" t="s">
        <v>15</v>
      </c>
      <c r="I280" s="79">
        <v>10</v>
      </c>
    </row>
    <row r="281" s="43" customFormat="1" ht="56.25" spans="1:9">
      <c r="A281" s="57">
        <v>5</v>
      </c>
      <c r="B281" s="30" t="s">
        <v>267</v>
      </c>
      <c r="C281" s="30" t="s">
        <v>268</v>
      </c>
      <c r="D281" s="32" t="s">
        <v>260</v>
      </c>
      <c r="E281" s="86">
        <v>381</v>
      </c>
      <c r="F281" s="70"/>
      <c r="G281" s="70">
        <f t="shared" si="16"/>
        <v>0</v>
      </c>
      <c r="H281" s="68" t="s">
        <v>15</v>
      </c>
      <c r="I281" s="79">
        <v>10</v>
      </c>
    </row>
    <row r="282" s="43" customFormat="1" ht="56.25" spans="1:9">
      <c r="A282" s="57">
        <v>6</v>
      </c>
      <c r="B282" s="30" t="s">
        <v>269</v>
      </c>
      <c r="C282" s="30" t="s">
        <v>270</v>
      </c>
      <c r="D282" s="32" t="s">
        <v>260</v>
      </c>
      <c r="E282" s="86">
        <v>80</v>
      </c>
      <c r="F282" s="70"/>
      <c r="G282" s="70">
        <f t="shared" si="16"/>
        <v>0</v>
      </c>
      <c r="H282" s="68" t="s">
        <v>15</v>
      </c>
      <c r="I282" s="79">
        <v>10</v>
      </c>
    </row>
    <row r="283" s="43" customFormat="1" ht="56.25" spans="1:9">
      <c r="A283" s="57">
        <v>7</v>
      </c>
      <c r="B283" s="30" t="s">
        <v>271</v>
      </c>
      <c r="C283" s="30" t="s">
        <v>272</v>
      </c>
      <c r="D283" s="32" t="s">
        <v>260</v>
      </c>
      <c r="E283" s="86">
        <v>56</v>
      </c>
      <c r="F283" s="70"/>
      <c r="G283" s="70">
        <f t="shared" si="16"/>
        <v>0</v>
      </c>
      <c r="H283" s="68" t="s">
        <v>15</v>
      </c>
      <c r="I283" s="79">
        <v>10</v>
      </c>
    </row>
    <row r="284" s="43" customFormat="1" ht="56.25" spans="1:9">
      <c r="A284" s="57">
        <v>8</v>
      </c>
      <c r="B284" s="30" t="s">
        <v>273</v>
      </c>
      <c r="C284" s="30" t="s">
        <v>274</v>
      </c>
      <c r="D284" s="32" t="s">
        <v>260</v>
      </c>
      <c r="E284" s="86">
        <v>17</v>
      </c>
      <c r="F284" s="70"/>
      <c r="G284" s="70">
        <f t="shared" si="16"/>
        <v>0</v>
      </c>
      <c r="H284" s="68" t="s">
        <v>15</v>
      </c>
      <c r="I284" s="79">
        <v>30</v>
      </c>
    </row>
    <row r="285" s="43" customFormat="1" ht="56.25" spans="1:9">
      <c r="A285" s="57">
        <v>9</v>
      </c>
      <c r="B285" s="30" t="s">
        <v>275</v>
      </c>
      <c r="C285" s="30" t="s">
        <v>276</v>
      </c>
      <c r="D285" s="32" t="s">
        <v>260</v>
      </c>
      <c r="E285" s="86">
        <v>15</v>
      </c>
      <c r="F285" s="70"/>
      <c r="G285" s="70">
        <f t="shared" si="16"/>
        <v>0</v>
      </c>
      <c r="H285" s="68" t="s">
        <v>15</v>
      </c>
      <c r="I285" s="79">
        <v>10</v>
      </c>
    </row>
    <row r="286" s="43" customFormat="1" ht="56.25" spans="1:9">
      <c r="A286" s="57">
        <v>10</v>
      </c>
      <c r="B286" s="30" t="s">
        <v>277</v>
      </c>
      <c r="C286" s="30" t="s">
        <v>278</v>
      </c>
      <c r="D286" s="32" t="s">
        <v>42</v>
      </c>
      <c r="E286" s="86">
        <v>845.703</v>
      </c>
      <c r="F286" s="70"/>
      <c r="G286" s="70">
        <f t="shared" si="16"/>
        <v>0</v>
      </c>
      <c r="H286" s="68" t="s">
        <v>15</v>
      </c>
      <c r="I286" s="79">
        <v>12</v>
      </c>
    </row>
    <row r="287" s="43" customFormat="1" ht="56.25" spans="1:9">
      <c r="A287" s="57">
        <v>11</v>
      </c>
      <c r="B287" s="30" t="s">
        <v>279</v>
      </c>
      <c r="C287" s="30" t="s">
        <v>280</v>
      </c>
      <c r="D287" s="32" t="s">
        <v>260</v>
      </c>
      <c r="E287" s="86">
        <v>67</v>
      </c>
      <c r="F287" s="70"/>
      <c r="G287" s="70">
        <f t="shared" si="16"/>
        <v>0</v>
      </c>
      <c r="H287" s="68" t="s">
        <v>15</v>
      </c>
      <c r="I287" s="79">
        <v>10</v>
      </c>
    </row>
    <row r="288" s="43" customFormat="1" ht="56.25" spans="1:9">
      <c r="A288" s="57">
        <v>12</v>
      </c>
      <c r="B288" s="30" t="s">
        <v>281</v>
      </c>
      <c r="C288" s="30" t="s">
        <v>272</v>
      </c>
      <c r="D288" s="32" t="s">
        <v>260</v>
      </c>
      <c r="E288" s="86">
        <v>272</v>
      </c>
      <c r="F288" s="70"/>
      <c r="G288" s="70">
        <f t="shared" si="16"/>
        <v>0</v>
      </c>
      <c r="H288" s="68" t="s">
        <v>15</v>
      </c>
      <c r="I288" s="79">
        <v>10</v>
      </c>
    </row>
    <row r="289" s="43" customFormat="1" ht="56.25" spans="1:9">
      <c r="A289" s="57">
        <v>13</v>
      </c>
      <c r="B289" s="30" t="s">
        <v>282</v>
      </c>
      <c r="C289" s="30" t="s">
        <v>283</v>
      </c>
      <c r="D289" s="32" t="s">
        <v>260</v>
      </c>
      <c r="E289" s="86">
        <v>22</v>
      </c>
      <c r="F289" s="70"/>
      <c r="G289" s="70">
        <f t="shared" si="16"/>
        <v>0</v>
      </c>
      <c r="H289" s="68" t="s">
        <v>15</v>
      </c>
      <c r="I289" s="79">
        <v>10</v>
      </c>
    </row>
    <row r="290" s="43" customFormat="1" ht="56.25" spans="1:9">
      <c r="A290" s="57">
        <v>14</v>
      </c>
      <c r="B290" s="30" t="s">
        <v>284</v>
      </c>
      <c r="C290" s="30" t="s">
        <v>285</v>
      </c>
      <c r="D290" s="32" t="s">
        <v>260</v>
      </c>
      <c r="E290" s="86">
        <v>318</v>
      </c>
      <c r="F290" s="70"/>
      <c r="G290" s="70">
        <f t="shared" si="16"/>
        <v>0</v>
      </c>
      <c r="H290" s="68" t="s">
        <v>15</v>
      </c>
      <c r="I290" s="79">
        <v>10</v>
      </c>
    </row>
    <row r="291" s="43" customFormat="1" ht="67.5" spans="1:9">
      <c r="A291" s="57">
        <v>15</v>
      </c>
      <c r="B291" s="30" t="s">
        <v>290</v>
      </c>
      <c r="C291" s="30" t="s">
        <v>291</v>
      </c>
      <c r="D291" s="32" t="s">
        <v>174</v>
      </c>
      <c r="E291" s="86">
        <v>43</v>
      </c>
      <c r="F291" s="70"/>
      <c r="G291" s="70">
        <f t="shared" si="16"/>
        <v>0</v>
      </c>
      <c r="H291" s="68" t="s">
        <v>15</v>
      </c>
      <c r="I291" s="79">
        <v>10</v>
      </c>
    </row>
    <row r="292" s="43" customFormat="1" ht="67.5" spans="1:9">
      <c r="A292" s="57">
        <v>16</v>
      </c>
      <c r="B292" s="30" t="s">
        <v>292</v>
      </c>
      <c r="C292" s="30" t="s">
        <v>291</v>
      </c>
      <c r="D292" s="32" t="s">
        <v>174</v>
      </c>
      <c r="E292" s="86">
        <v>59</v>
      </c>
      <c r="F292" s="70"/>
      <c r="G292" s="70">
        <f t="shared" si="16"/>
        <v>0</v>
      </c>
      <c r="H292" s="68" t="s">
        <v>15</v>
      </c>
      <c r="I292" s="79">
        <v>10</v>
      </c>
    </row>
    <row r="293" s="43" customFormat="1" ht="67.5" spans="1:9">
      <c r="A293" s="57">
        <v>17</v>
      </c>
      <c r="B293" s="30" t="s">
        <v>293</v>
      </c>
      <c r="C293" s="30" t="s">
        <v>291</v>
      </c>
      <c r="D293" s="32" t="s">
        <v>174</v>
      </c>
      <c r="E293" s="86">
        <v>33</v>
      </c>
      <c r="F293" s="70"/>
      <c r="G293" s="70">
        <f t="shared" si="16"/>
        <v>0</v>
      </c>
      <c r="H293" s="68" t="s">
        <v>15</v>
      </c>
      <c r="I293" s="79">
        <v>10</v>
      </c>
    </row>
    <row r="294" s="43" customFormat="1" ht="67.5" spans="1:9">
      <c r="A294" s="57">
        <v>18</v>
      </c>
      <c r="B294" s="30" t="s">
        <v>294</v>
      </c>
      <c r="C294" s="30" t="s">
        <v>291</v>
      </c>
      <c r="D294" s="32" t="s">
        <v>174</v>
      </c>
      <c r="E294" s="86">
        <v>2</v>
      </c>
      <c r="F294" s="70"/>
      <c r="G294" s="70">
        <f t="shared" si="16"/>
        <v>0</v>
      </c>
      <c r="H294" s="68" t="s">
        <v>15</v>
      </c>
      <c r="I294" s="79">
        <v>10</v>
      </c>
    </row>
    <row r="295" s="43" customFormat="1" ht="67.5" spans="1:9">
      <c r="A295" s="57">
        <v>19</v>
      </c>
      <c r="B295" s="30" t="s">
        <v>295</v>
      </c>
      <c r="C295" s="30" t="s">
        <v>291</v>
      </c>
      <c r="D295" s="32" t="s">
        <v>174</v>
      </c>
      <c r="E295" s="86">
        <v>29</v>
      </c>
      <c r="F295" s="70"/>
      <c r="G295" s="70">
        <f t="shared" si="16"/>
        <v>0</v>
      </c>
      <c r="H295" s="68" t="s">
        <v>15</v>
      </c>
      <c r="I295" s="79">
        <v>10</v>
      </c>
    </row>
    <row r="296" s="43" customFormat="1" ht="67.5" spans="1:9">
      <c r="A296" s="57">
        <v>20</v>
      </c>
      <c r="B296" s="30" t="s">
        <v>296</v>
      </c>
      <c r="C296" s="30" t="s">
        <v>291</v>
      </c>
      <c r="D296" s="32" t="s">
        <v>174</v>
      </c>
      <c r="E296" s="86">
        <v>54</v>
      </c>
      <c r="F296" s="70"/>
      <c r="G296" s="70">
        <f t="shared" si="16"/>
        <v>0</v>
      </c>
      <c r="H296" s="68" t="s">
        <v>15</v>
      </c>
      <c r="I296" s="79">
        <v>10</v>
      </c>
    </row>
    <row r="297" s="43" customFormat="1" ht="67.5" spans="1:9">
      <c r="A297" s="57">
        <v>21</v>
      </c>
      <c r="B297" s="30" t="s">
        <v>297</v>
      </c>
      <c r="C297" s="30" t="s">
        <v>291</v>
      </c>
      <c r="D297" s="32" t="s">
        <v>174</v>
      </c>
      <c r="E297" s="86">
        <v>11</v>
      </c>
      <c r="F297" s="70"/>
      <c r="G297" s="70">
        <f t="shared" si="16"/>
        <v>0</v>
      </c>
      <c r="H297" s="68" t="s">
        <v>15</v>
      </c>
      <c r="I297" s="79">
        <v>10</v>
      </c>
    </row>
    <row r="298" s="43" customFormat="1" ht="67.5" spans="1:9">
      <c r="A298" s="57">
        <v>22</v>
      </c>
      <c r="B298" s="30" t="s">
        <v>298</v>
      </c>
      <c r="C298" s="30" t="s">
        <v>291</v>
      </c>
      <c r="D298" s="32" t="s">
        <v>174</v>
      </c>
      <c r="E298" s="86">
        <v>36</v>
      </c>
      <c r="F298" s="70"/>
      <c r="G298" s="70">
        <f t="shared" si="16"/>
        <v>0</v>
      </c>
      <c r="H298" s="68" t="s">
        <v>15</v>
      </c>
      <c r="I298" s="79">
        <v>10</v>
      </c>
    </row>
    <row r="299" s="43" customFormat="1" ht="67.5" spans="1:9">
      <c r="A299" s="57">
        <v>23</v>
      </c>
      <c r="B299" s="30" t="s">
        <v>299</v>
      </c>
      <c r="C299" s="30" t="s">
        <v>291</v>
      </c>
      <c r="D299" s="32" t="s">
        <v>174</v>
      </c>
      <c r="E299" s="86">
        <v>786</v>
      </c>
      <c r="F299" s="70"/>
      <c r="G299" s="70">
        <f t="shared" si="16"/>
        <v>0</v>
      </c>
      <c r="H299" s="68" t="s">
        <v>15</v>
      </c>
      <c r="I299" s="79">
        <v>10</v>
      </c>
    </row>
    <row r="300" s="43" customFormat="1" ht="67.5" spans="1:9">
      <c r="A300" s="57">
        <v>24</v>
      </c>
      <c r="B300" s="30" t="s">
        <v>300</v>
      </c>
      <c r="C300" s="30" t="s">
        <v>291</v>
      </c>
      <c r="D300" s="32" t="s">
        <v>174</v>
      </c>
      <c r="E300" s="86">
        <v>77</v>
      </c>
      <c r="F300" s="70"/>
      <c r="G300" s="70">
        <f t="shared" si="16"/>
        <v>0</v>
      </c>
      <c r="H300" s="68" t="s">
        <v>15</v>
      </c>
      <c r="I300" s="79">
        <v>15</v>
      </c>
    </row>
    <row r="301" s="43" customFormat="1" ht="67.5" spans="1:9">
      <c r="A301" s="57">
        <v>25</v>
      </c>
      <c r="B301" s="30" t="s">
        <v>301</v>
      </c>
      <c r="C301" s="30" t="s">
        <v>291</v>
      </c>
      <c r="D301" s="32" t="s">
        <v>174</v>
      </c>
      <c r="E301" s="86">
        <v>23</v>
      </c>
      <c r="F301" s="70"/>
      <c r="G301" s="70">
        <f t="shared" si="16"/>
        <v>0</v>
      </c>
      <c r="H301" s="68" t="s">
        <v>15</v>
      </c>
      <c r="I301" s="79">
        <v>10</v>
      </c>
    </row>
    <row r="302" s="43" customFormat="1" ht="67.5" spans="1:9">
      <c r="A302" s="57">
        <v>26</v>
      </c>
      <c r="B302" s="30" t="s">
        <v>302</v>
      </c>
      <c r="C302" s="30" t="s">
        <v>291</v>
      </c>
      <c r="D302" s="32" t="s">
        <v>174</v>
      </c>
      <c r="E302" s="86">
        <v>41</v>
      </c>
      <c r="F302" s="70"/>
      <c r="G302" s="70">
        <f t="shared" si="16"/>
        <v>0</v>
      </c>
      <c r="H302" s="68" t="s">
        <v>15</v>
      </c>
      <c r="I302" s="79">
        <v>10</v>
      </c>
    </row>
    <row r="303" s="43" customFormat="1" ht="56.25" spans="1:9">
      <c r="A303" s="57">
        <v>27</v>
      </c>
      <c r="B303" s="30" t="s">
        <v>303</v>
      </c>
      <c r="C303" s="30" t="s">
        <v>304</v>
      </c>
      <c r="D303" s="32" t="s">
        <v>174</v>
      </c>
      <c r="E303" s="86">
        <v>1195</v>
      </c>
      <c r="F303" s="70"/>
      <c r="G303" s="70">
        <f t="shared" si="16"/>
        <v>0</v>
      </c>
      <c r="H303" s="68" t="s">
        <v>15</v>
      </c>
      <c r="I303" s="79">
        <v>5</v>
      </c>
    </row>
    <row r="304" s="43" customFormat="1" ht="56.25" spans="1:9">
      <c r="A304" s="57">
        <v>28</v>
      </c>
      <c r="B304" s="30" t="s">
        <v>305</v>
      </c>
      <c r="C304" s="30" t="s">
        <v>337</v>
      </c>
      <c r="D304" s="32" t="s">
        <v>174</v>
      </c>
      <c r="E304" s="86">
        <v>1582</v>
      </c>
      <c r="F304" s="70"/>
      <c r="G304" s="70">
        <f t="shared" si="16"/>
        <v>0</v>
      </c>
      <c r="H304" s="68" t="s">
        <v>15</v>
      </c>
      <c r="I304" s="79">
        <v>5</v>
      </c>
    </row>
    <row r="305" s="43" customFormat="1" ht="56.25" spans="1:9">
      <c r="A305" s="57">
        <v>29</v>
      </c>
      <c r="B305" s="30" t="s">
        <v>306</v>
      </c>
      <c r="C305" s="30" t="s">
        <v>307</v>
      </c>
      <c r="D305" s="32" t="s">
        <v>308</v>
      </c>
      <c r="E305" s="86">
        <v>38</v>
      </c>
      <c r="F305" s="70"/>
      <c r="G305" s="70">
        <f t="shared" si="16"/>
        <v>0</v>
      </c>
      <c r="H305" s="68" t="s">
        <v>15</v>
      </c>
      <c r="I305" s="79">
        <v>50</v>
      </c>
    </row>
    <row r="306" s="43" customFormat="1" ht="56.25" spans="1:9">
      <c r="A306" s="57">
        <v>30</v>
      </c>
      <c r="B306" s="30" t="s">
        <v>309</v>
      </c>
      <c r="C306" s="30" t="s">
        <v>310</v>
      </c>
      <c r="D306" s="32" t="s">
        <v>308</v>
      </c>
      <c r="E306" s="86">
        <v>11</v>
      </c>
      <c r="F306" s="70"/>
      <c r="G306" s="70">
        <f t="shared" si="16"/>
        <v>0</v>
      </c>
      <c r="H306" s="68" t="s">
        <v>15</v>
      </c>
      <c r="I306" s="79">
        <v>80</v>
      </c>
    </row>
    <row r="307" s="43" customFormat="1" ht="101.25" spans="1:9">
      <c r="A307" s="57">
        <v>31</v>
      </c>
      <c r="B307" s="30" t="s">
        <v>311</v>
      </c>
      <c r="C307" s="30" t="s">
        <v>312</v>
      </c>
      <c r="D307" s="32" t="s">
        <v>42</v>
      </c>
      <c r="E307" s="87">
        <v>7096.2065</v>
      </c>
      <c r="F307" s="70"/>
      <c r="G307" s="70">
        <f t="shared" si="16"/>
        <v>0</v>
      </c>
      <c r="H307" s="68" t="s">
        <v>15</v>
      </c>
      <c r="I307" s="79">
        <v>8.5</v>
      </c>
    </row>
    <row r="308" s="43" customFormat="1" ht="101.25" spans="1:9">
      <c r="A308" s="57">
        <v>32</v>
      </c>
      <c r="B308" s="30" t="s">
        <v>313</v>
      </c>
      <c r="C308" s="30" t="s">
        <v>314</v>
      </c>
      <c r="D308" s="32" t="s">
        <v>42</v>
      </c>
      <c r="E308" s="87">
        <v>1100.556</v>
      </c>
      <c r="F308" s="70"/>
      <c r="G308" s="70">
        <f t="shared" si="16"/>
        <v>0</v>
      </c>
      <c r="H308" s="68" t="s">
        <v>15</v>
      </c>
      <c r="I308" s="79">
        <v>8.5</v>
      </c>
    </row>
    <row r="309" s="43" customFormat="1" ht="101.25" spans="1:9">
      <c r="A309" s="57">
        <v>33</v>
      </c>
      <c r="B309" s="30" t="s">
        <v>315</v>
      </c>
      <c r="C309" s="30" t="s">
        <v>316</v>
      </c>
      <c r="D309" s="32" t="s">
        <v>42</v>
      </c>
      <c r="E309" s="87">
        <v>654.4035</v>
      </c>
      <c r="F309" s="70"/>
      <c r="G309" s="70">
        <f t="shared" si="16"/>
        <v>0</v>
      </c>
      <c r="H309" s="68" t="s">
        <v>15</v>
      </c>
      <c r="I309" s="79">
        <v>8.5</v>
      </c>
    </row>
    <row r="310" s="43" customFormat="1" ht="101.25" spans="1:9">
      <c r="A310" s="57">
        <v>34</v>
      </c>
      <c r="B310" s="30" t="s">
        <v>317</v>
      </c>
      <c r="C310" s="30" t="s">
        <v>318</v>
      </c>
      <c r="D310" s="32" t="s">
        <v>42</v>
      </c>
      <c r="E310" s="87">
        <v>1424.502</v>
      </c>
      <c r="F310" s="70"/>
      <c r="G310" s="70">
        <f t="shared" si="16"/>
        <v>0</v>
      </c>
      <c r="H310" s="68" t="s">
        <v>15</v>
      </c>
      <c r="I310" s="79">
        <v>8.5</v>
      </c>
    </row>
    <row r="311" s="43" customFormat="1" ht="101.25" spans="1:9">
      <c r="A311" s="57">
        <v>35</v>
      </c>
      <c r="B311" s="30" t="s">
        <v>319</v>
      </c>
      <c r="C311" s="30" t="s">
        <v>320</v>
      </c>
      <c r="D311" s="32" t="s">
        <v>42</v>
      </c>
      <c r="E311" s="87">
        <v>15.075</v>
      </c>
      <c r="F311" s="70"/>
      <c r="G311" s="70">
        <f t="shared" si="16"/>
        <v>0</v>
      </c>
      <c r="H311" s="68" t="s">
        <v>15</v>
      </c>
      <c r="I311" s="79">
        <v>8.5</v>
      </c>
    </row>
    <row r="312" s="43" customFormat="1" ht="67.5" spans="1:9">
      <c r="A312" s="57">
        <v>36</v>
      </c>
      <c r="B312" s="30" t="s">
        <v>321</v>
      </c>
      <c r="C312" s="30" t="s">
        <v>322</v>
      </c>
      <c r="D312" s="32" t="s">
        <v>42</v>
      </c>
      <c r="E312" s="87">
        <v>134.6085</v>
      </c>
      <c r="F312" s="70"/>
      <c r="G312" s="70">
        <f t="shared" si="16"/>
        <v>0</v>
      </c>
      <c r="H312" s="68" t="s">
        <v>15</v>
      </c>
      <c r="I312" s="79">
        <v>2</v>
      </c>
    </row>
    <row r="313" s="43" customFormat="1" ht="67.5" spans="1:9">
      <c r="A313" s="57">
        <v>37</v>
      </c>
      <c r="B313" s="30" t="s">
        <v>323</v>
      </c>
      <c r="C313" s="30" t="s">
        <v>322</v>
      </c>
      <c r="D313" s="32" t="s">
        <v>42</v>
      </c>
      <c r="E313" s="87">
        <v>0.1215</v>
      </c>
      <c r="F313" s="70"/>
      <c r="G313" s="70">
        <f t="shared" si="16"/>
        <v>0</v>
      </c>
      <c r="H313" s="68" t="s">
        <v>15</v>
      </c>
      <c r="I313" s="79">
        <v>2</v>
      </c>
    </row>
    <row r="314" s="43" customFormat="1" ht="67.5" spans="1:9">
      <c r="A314" s="57">
        <v>38</v>
      </c>
      <c r="B314" s="30" t="s">
        <v>324</v>
      </c>
      <c r="C314" s="30" t="s">
        <v>325</v>
      </c>
      <c r="D314" s="32" t="s">
        <v>42</v>
      </c>
      <c r="E314" s="87">
        <v>28359.1025</v>
      </c>
      <c r="F314" s="70"/>
      <c r="G314" s="70">
        <f t="shared" si="16"/>
        <v>0</v>
      </c>
      <c r="H314" s="68" t="s">
        <v>15</v>
      </c>
      <c r="I314" s="79">
        <v>2</v>
      </c>
    </row>
    <row r="315" s="43" customFormat="1" ht="67.5" spans="1:9">
      <c r="A315" s="57">
        <v>39</v>
      </c>
      <c r="B315" s="30" t="s">
        <v>326</v>
      </c>
      <c r="C315" s="30" t="s">
        <v>327</v>
      </c>
      <c r="D315" s="32" t="s">
        <v>42</v>
      </c>
      <c r="E315" s="87">
        <v>6821.4285</v>
      </c>
      <c r="F315" s="70"/>
      <c r="G315" s="70">
        <f t="shared" si="16"/>
        <v>0</v>
      </c>
      <c r="H315" s="68" t="s">
        <v>15</v>
      </c>
      <c r="I315" s="79">
        <v>2</v>
      </c>
    </row>
    <row r="316" s="43" customFormat="1" ht="67.5" spans="1:9">
      <c r="A316" s="57">
        <v>40</v>
      </c>
      <c r="B316" s="30" t="s">
        <v>328</v>
      </c>
      <c r="C316" s="30" t="s">
        <v>329</v>
      </c>
      <c r="D316" s="32" t="s">
        <v>42</v>
      </c>
      <c r="E316" s="87">
        <v>46.44</v>
      </c>
      <c r="F316" s="70"/>
      <c r="G316" s="70">
        <f t="shared" si="16"/>
        <v>0</v>
      </c>
      <c r="H316" s="68" t="s">
        <v>15</v>
      </c>
      <c r="I316" s="79">
        <v>2</v>
      </c>
    </row>
    <row r="317" s="43" customFormat="1" ht="67.5" spans="1:9">
      <c r="A317" s="57">
        <v>41</v>
      </c>
      <c r="B317" s="30" t="s">
        <v>330</v>
      </c>
      <c r="C317" s="30" t="s">
        <v>331</v>
      </c>
      <c r="D317" s="32" t="s">
        <v>42</v>
      </c>
      <c r="E317" s="87">
        <v>457.7265</v>
      </c>
      <c r="F317" s="70"/>
      <c r="G317" s="70">
        <f t="shared" si="16"/>
        <v>0</v>
      </c>
      <c r="H317" s="68" t="s">
        <v>15</v>
      </c>
      <c r="I317" s="79">
        <v>2</v>
      </c>
    </row>
    <row r="318" s="43" customFormat="1" ht="33" customHeight="1" spans="1:9">
      <c r="A318" s="57">
        <v>42</v>
      </c>
      <c r="B318" s="30" t="s">
        <v>334</v>
      </c>
      <c r="C318" s="30"/>
      <c r="D318" s="32" t="s">
        <v>42</v>
      </c>
      <c r="E318" s="87">
        <v>748.44</v>
      </c>
      <c r="F318" s="70"/>
      <c r="G318" s="70">
        <f t="shared" si="16"/>
        <v>0</v>
      </c>
      <c r="H318" s="68" t="s">
        <v>15</v>
      </c>
      <c r="I318" s="79">
        <v>18</v>
      </c>
    </row>
    <row r="319" s="42" customFormat="1" ht="21" customHeight="1" spans="1:9">
      <c r="A319" s="84" t="s">
        <v>338</v>
      </c>
      <c r="B319" s="91" t="s">
        <v>339</v>
      </c>
      <c r="C319" s="92"/>
      <c r="D319" s="93"/>
      <c r="E319" s="85"/>
      <c r="F319" s="70"/>
      <c r="G319" s="82">
        <f>SUM(G320:G342)</f>
        <v>0</v>
      </c>
      <c r="H319" s="64"/>
      <c r="I319" s="88"/>
    </row>
    <row r="320" s="43" customFormat="1" ht="90" spans="1:9">
      <c r="A320" s="57">
        <v>1</v>
      </c>
      <c r="B320" s="39" t="s">
        <v>340</v>
      </c>
      <c r="C320" s="39" t="s">
        <v>341</v>
      </c>
      <c r="D320" s="94" t="s">
        <v>42</v>
      </c>
      <c r="E320" s="94">
        <v>477.546</v>
      </c>
      <c r="F320" s="70"/>
      <c r="G320" s="70">
        <f t="shared" ref="G320:G342" si="17">F320*E320</f>
        <v>0</v>
      </c>
      <c r="H320" s="68" t="s">
        <v>15</v>
      </c>
      <c r="I320" s="79">
        <v>15</v>
      </c>
    </row>
    <row r="321" s="43" customFormat="1" ht="90" spans="1:9">
      <c r="A321" s="57">
        <v>2</v>
      </c>
      <c r="B321" s="39" t="s">
        <v>342</v>
      </c>
      <c r="C321" s="39" t="s">
        <v>343</v>
      </c>
      <c r="D321" s="94" t="s">
        <v>42</v>
      </c>
      <c r="E321" s="94">
        <v>34.008</v>
      </c>
      <c r="F321" s="70"/>
      <c r="G321" s="70">
        <f t="shared" si="17"/>
        <v>0</v>
      </c>
      <c r="H321" s="68" t="s">
        <v>15</v>
      </c>
      <c r="I321" s="79">
        <v>15</v>
      </c>
    </row>
    <row r="322" s="43" customFormat="1" ht="90" spans="1:9">
      <c r="A322" s="57">
        <v>3</v>
      </c>
      <c r="B322" s="39" t="s">
        <v>344</v>
      </c>
      <c r="C322" s="39" t="s">
        <v>345</v>
      </c>
      <c r="D322" s="94" t="s">
        <v>42</v>
      </c>
      <c r="E322" s="94">
        <v>89.244</v>
      </c>
      <c r="F322" s="70"/>
      <c r="G322" s="70">
        <f t="shared" si="17"/>
        <v>0</v>
      </c>
      <c r="H322" s="68" t="s">
        <v>15</v>
      </c>
      <c r="I322" s="79">
        <v>15</v>
      </c>
    </row>
    <row r="323" s="43" customFormat="1" ht="90" spans="1:9">
      <c r="A323" s="57">
        <v>4</v>
      </c>
      <c r="B323" s="39" t="s">
        <v>346</v>
      </c>
      <c r="C323" s="39" t="s">
        <v>347</v>
      </c>
      <c r="D323" s="94" t="s">
        <v>42</v>
      </c>
      <c r="E323" s="94">
        <v>15.594</v>
      </c>
      <c r="F323" s="70"/>
      <c r="G323" s="70">
        <f t="shared" si="17"/>
        <v>0</v>
      </c>
      <c r="H323" s="68" t="s">
        <v>15</v>
      </c>
      <c r="I323" s="79">
        <v>15</v>
      </c>
    </row>
    <row r="324" s="43" customFormat="1" ht="90" spans="1:9">
      <c r="A324" s="57">
        <v>5</v>
      </c>
      <c r="B324" s="39" t="s">
        <v>348</v>
      </c>
      <c r="C324" s="39" t="s">
        <v>349</v>
      </c>
      <c r="D324" s="94" t="s">
        <v>42</v>
      </c>
      <c r="E324" s="94">
        <v>83.19</v>
      </c>
      <c r="F324" s="70"/>
      <c r="G324" s="70">
        <f t="shared" si="17"/>
        <v>0</v>
      </c>
      <c r="H324" s="68" t="s">
        <v>15</v>
      </c>
      <c r="I324" s="79">
        <v>15</v>
      </c>
    </row>
    <row r="325" s="43" customFormat="1" ht="90" spans="1:9">
      <c r="A325" s="57">
        <v>6</v>
      </c>
      <c r="B325" s="39" t="s">
        <v>350</v>
      </c>
      <c r="C325" s="39" t="s">
        <v>351</v>
      </c>
      <c r="D325" s="94" t="s">
        <v>42</v>
      </c>
      <c r="E325" s="94">
        <v>21.786</v>
      </c>
      <c r="F325" s="70"/>
      <c r="G325" s="70">
        <f t="shared" si="17"/>
        <v>0</v>
      </c>
      <c r="H325" s="68" t="s">
        <v>15</v>
      </c>
      <c r="I325" s="79">
        <v>15</v>
      </c>
    </row>
    <row r="326" s="43" customFormat="1" ht="90" spans="1:9">
      <c r="A326" s="57">
        <v>7</v>
      </c>
      <c r="B326" s="39" t="s">
        <v>352</v>
      </c>
      <c r="C326" s="39" t="s">
        <v>353</v>
      </c>
      <c r="D326" s="94" t="s">
        <v>42</v>
      </c>
      <c r="E326" s="94">
        <v>1.35</v>
      </c>
      <c r="F326" s="70"/>
      <c r="G326" s="70">
        <f t="shared" si="17"/>
        <v>0</v>
      </c>
      <c r="H326" s="68" t="s">
        <v>15</v>
      </c>
      <c r="I326" s="79">
        <v>15</v>
      </c>
    </row>
    <row r="327" s="43" customFormat="1" ht="67.5" spans="1:9">
      <c r="A327" s="57">
        <v>8</v>
      </c>
      <c r="B327" s="39" t="s">
        <v>354</v>
      </c>
      <c r="C327" s="39" t="s">
        <v>355</v>
      </c>
      <c r="D327" s="94" t="s">
        <v>42</v>
      </c>
      <c r="E327" s="94">
        <v>51.45</v>
      </c>
      <c r="F327" s="70"/>
      <c r="G327" s="70">
        <f t="shared" si="17"/>
        <v>0</v>
      </c>
      <c r="H327" s="68" t="s">
        <v>15</v>
      </c>
      <c r="I327" s="79">
        <v>15</v>
      </c>
    </row>
    <row r="328" s="43" customFormat="1" ht="67.5" spans="1:9">
      <c r="A328" s="57">
        <v>9</v>
      </c>
      <c r="B328" s="39" t="s">
        <v>356</v>
      </c>
      <c r="C328" s="39" t="s">
        <v>357</v>
      </c>
      <c r="D328" s="94" t="s">
        <v>42</v>
      </c>
      <c r="E328" s="94">
        <v>112.368</v>
      </c>
      <c r="F328" s="70"/>
      <c r="G328" s="70">
        <f t="shared" si="17"/>
        <v>0</v>
      </c>
      <c r="H328" s="68" t="s">
        <v>15</v>
      </c>
      <c r="I328" s="79">
        <v>15</v>
      </c>
    </row>
    <row r="329" s="43" customFormat="1" ht="67.5" spans="1:9">
      <c r="A329" s="57">
        <v>10</v>
      </c>
      <c r="B329" s="39" t="s">
        <v>358</v>
      </c>
      <c r="C329" s="39" t="s">
        <v>359</v>
      </c>
      <c r="D329" s="94" t="s">
        <v>42</v>
      </c>
      <c r="E329" s="94">
        <v>229.986</v>
      </c>
      <c r="F329" s="70"/>
      <c r="G329" s="70">
        <f t="shared" si="17"/>
        <v>0</v>
      </c>
      <c r="H329" s="68" t="s">
        <v>15</v>
      </c>
      <c r="I329" s="79">
        <v>15</v>
      </c>
    </row>
    <row r="330" s="43" customFormat="1" ht="67.5" spans="1:9">
      <c r="A330" s="57">
        <v>11</v>
      </c>
      <c r="B330" s="39" t="s">
        <v>360</v>
      </c>
      <c r="C330" s="39" t="s">
        <v>361</v>
      </c>
      <c r="D330" s="94" t="s">
        <v>174</v>
      </c>
      <c r="E330" s="94">
        <v>1</v>
      </c>
      <c r="F330" s="70"/>
      <c r="G330" s="70">
        <f t="shared" si="17"/>
        <v>0</v>
      </c>
      <c r="H330" s="68" t="s">
        <v>15</v>
      </c>
      <c r="I330" s="79">
        <v>10</v>
      </c>
    </row>
    <row r="331" s="43" customFormat="1" ht="67.5" spans="1:9">
      <c r="A331" s="57">
        <v>12</v>
      </c>
      <c r="B331" s="39" t="s">
        <v>362</v>
      </c>
      <c r="C331" s="39" t="s">
        <v>363</v>
      </c>
      <c r="D331" s="94" t="s">
        <v>174</v>
      </c>
      <c r="E331" s="94">
        <v>2</v>
      </c>
      <c r="F331" s="70"/>
      <c r="G331" s="70">
        <f t="shared" si="17"/>
        <v>0</v>
      </c>
      <c r="H331" s="68" t="s">
        <v>15</v>
      </c>
      <c r="I331" s="79">
        <v>10</v>
      </c>
    </row>
    <row r="332" s="43" customFormat="1" ht="56.25" spans="1:9">
      <c r="A332" s="57">
        <v>13</v>
      </c>
      <c r="B332" s="39" t="s">
        <v>364</v>
      </c>
      <c r="C332" s="39" t="s">
        <v>365</v>
      </c>
      <c r="D332" s="94" t="s">
        <v>174</v>
      </c>
      <c r="E332" s="94">
        <v>4</v>
      </c>
      <c r="F332" s="70"/>
      <c r="G332" s="70">
        <f t="shared" si="17"/>
        <v>0</v>
      </c>
      <c r="H332" s="68" t="s">
        <v>15</v>
      </c>
      <c r="I332" s="79">
        <v>10</v>
      </c>
    </row>
    <row r="333" s="43" customFormat="1" ht="56.25" spans="1:9">
      <c r="A333" s="57">
        <v>14</v>
      </c>
      <c r="B333" s="39" t="s">
        <v>366</v>
      </c>
      <c r="C333" s="39" t="s">
        <v>367</v>
      </c>
      <c r="D333" s="94" t="s">
        <v>174</v>
      </c>
      <c r="E333" s="94">
        <v>19</v>
      </c>
      <c r="F333" s="70"/>
      <c r="G333" s="70">
        <f t="shared" si="17"/>
        <v>0</v>
      </c>
      <c r="H333" s="68" t="s">
        <v>15</v>
      </c>
      <c r="I333" s="79">
        <v>10</v>
      </c>
    </row>
    <row r="334" s="43" customFormat="1" ht="45" spans="1:9">
      <c r="A334" s="57">
        <v>15</v>
      </c>
      <c r="B334" s="39" t="s">
        <v>368</v>
      </c>
      <c r="C334" s="39" t="s">
        <v>369</v>
      </c>
      <c r="D334" s="94" t="s">
        <v>174</v>
      </c>
      <c r="E334" s="94">
        <v>20</v>
      </c>
      <c r="F334" s="70"/>
      <c r="G334" s="70">
        <f t="shared" si="17"/>
        <v>0</v>
      </c>
      <c r="H334" s="68" t="s">
        <v>15</v>
      </c>
      <c r="I334" s="79">
        <v>10</v>
      </c>
    </row>
    <row r="335" s="43" customFormat="1" ht="78.75" spans="1:9">
      <c r="A335" s="57">
        <v>16</v>
      </c>
      <c r="B335" s="39" t="s">
        <v>370</v>
      </c>
      <c r="C335" s="39" t="s">
        <v>371</v>
      </c>
      <c r="D335" s="94" t="s">
        <v>372</v>
      </c>
      <c r="E335" s="94">
        <v>36</v>
      </c>
      <c r="F335" s="70"/>
      <c r="G335" s="70">
        <f t="shared" si="17"/>
        <v>0</v>
      </c>
      <c r="H335" s="68" t="s">
        <v>15</v>
      </c>
      <c r="I335" s="79">
        <v>80</v>
      </c>
    </row>
    <row r="336" s="43" customFormat="1" ht="78.75" spans="1:9">
      <c r="A336" s="57">
        <v>17</v>
      </c>
      <c r="B336" s="39" t="s">
        <v>373</v>
      </c>
      <c r="C336" s="39" t="s">
        <v>374</v>
      </c>
      <c r="D336" s="94" t="s">
        <v>372</v>
      </c>
      <c r="E336" s="94">
        <v>1</v>
      </c>
      <c r="F336" s="70"/>
      <c r="G336" s="70">
        <f t="shared" si="17"/>
        <v>0</v>
      </c>
      <c r="H336" s="68" t="s">
        <v>15</v>
      </c>
      <c r="I336" s="79">
        <v>80</v>
      </c>
    </row>
    <row r="337" s="43" customFormat="1" ht="56.25" spans="1:9">
      <c r="A337" s="57">
        <v>18</v>
      </c>
      <c r="B337" s="39" t="s">
        <v>375</v>
      </c>
      <c r="C337" s="39" t="s">
        <v>376</v>
      </c>
      <c r="D337" s="94" t="s">
        <v>372</v>
      </c>
      <c r="E337" s="94">
        <v>29</v>
      </c>
      <c r="F337" s="70"/>
      <c r="G337" s="70">
        <f t="shared" si="17"/>
        <v>0</v>
      </c>
      <c r="H337" s="68" t="s">
        <v>15</v>
      </c>
      <c r="I337" s="79">
        <v>130</v>
      </c>
    </row>
    <row r="338" s="43" customFormat="1" ht="67.5" spans="1:9">
      <c r="A338" s="57">
        <v>19</v>
      </c>
      <c r="B338" s="39" t="s">
        <v>377</v>
      </c>
      <c r="C338" s="39" t="s">
        <v>378</v>
      </c>
      <c r="D338" s="94" t="s">
        <v>372</v>
      </c>
      <c r="E338" s="94">
        <v>64</v>
      </c>
      <c r="F338" s="70"/>
      <c r="G338" s="70">
        <f t="shared" si="17"/>
        <v>0</v>
      </c>
      <c r="H338" s="68" t="s">
        <v>15</v>
      </c>
      <c r="I338" s="79">
        <v>120</v>
      </c>
    </row>
    <row r="339" s="43" customFormat="1" ht="56.25" spans="1:9">
      <c r="A339" s="57">
        <v>20</v>
      </c>
      <c r="B339" s="39" t="s">
        <v>379</v>
      </c>
      <c r="C339" s="39" t="s">
        <v>380</v>
      </c>
      <c r="D339" s="94" t="s">
        <v>308</v>
      </c>
      <c r="E339" s="94">
        <v>6</v>
      </c>
      <c r="F339" s="70"/>
      <c r="G339" s="70">
        <f t="shared" si="17"/>
        <v>0</v>
      </c>
      <c r="H339" s="68" t="s">
        <v>15</v>
      </c>
      <c r="I339" s="79">
        <v>60</v>
      </c>
    </row>
    <row r="340" s="43" customFormat="1" ht="56.25" spans="1:9">
      <c r="A340" s="57">
        <v>21</v>
      </c>
      <c r="B340" s="39" t="s">
        <v>381</v>
      </c>
      <c r="C340" s="39" t="s">
        <v>382</v>
      </c>
      <c r="D340" s="94" t="s">
        <v>308</v>
      </c>
      <c r="E340" s="94">
        <v>14</v>
      </c>
      <c r="F340" s="70"/>
      <c r="G340" s="70">
        <f t="shared" si="17"/>
        <v>0</v>
      </c>
      <c r="H340" s="68" t="s">
        <v>15</v>
      </c>
      <c r="I340" s="79">
        <v>60</v>
      </c>
    </row>
    <row r="341" s="43" customFormat="1" ht="56.25" spans="1:9">
      <c r="A341" s="57">
        <v>22</v>
      </c>
      <c r="B341" s="39" t="s">
        <v>383</v>
      </c>
      <c r="C341" s="39" t="s">
        <v>384</v>
      </c>
      <c r="D341" s="94" t="s">
        <v>372</v>
      </c>
      <c r="E341" s="94">
        <v>6</v>
      </c>
      <c r="F341" s="70"/>
      <c r="G341" s="70">
        <f t="shared" si="17"/>
        <v>0</v>
      </c>
      <c r="H341" s="68" t="s">
        <v>15</v>
      </c>
      <c r="I341" s="79">
        <v>50</v>
      </c>
    </row>
    <row r="342" s="43" customFormat="1" ht="56.25" spans="1:9">
      <c r="A342" s="57">
        <v>23</v>
      </c>
      <c r="B342" s="39" t="s">
        <v>385</v>
      </c>
      <c r="C342" s="39" t="s">
        <v>386</v>
      </c>
      <c r="D342" s="94" t="s">
        <v>372</v>
      </c>
      <c r="E342" s="94">
        <v>2</v>
      </c>
      <c r="F342" s="70"/>
      <c r="G342" s="70">
        <f t="shared" si="17"/>
        <v>0</v>
      </c>
      <c r="H342" s="68" t="s">
        <v>15</v>
      </c>
      <c r="I342" s="79">
        <v>120</v>
      </c>
    </row>
    <row r="343" s="42" customFormat="1" ht="22" customHeight="1" spans="1:9">
      <c r="A343" s="84" t="s">
        <v>387</v>
      </c>
      <c r="B343" s="91" t="s">
        <v>388</v>
      </c>
      <c r="C343" s="92"/>
      <c r="D343" s="90"/>
      <c r="E343" s="81"/>
      <c r="F343" s="70"/>
      <c r="G343" s="82">
        <f>SUM(G344:G364)</f>
        <v>0</v>
      </c>
      <c r="H343" s="64"/>
      <c r="I343" s="88"/>
    </row>
    <row r="344" s="43" customFormat="1" ht="90" spans="1:9">
      <c r="A344" s="57">
        <v>1</v>
      </c>
      <c r="B344" s="39" t="s">
        <v>340</v>
      </c>
      <c r="C344" s="39" t="s">
        <v>341</v>
      </c>
      <c r="D344" s="94" t="s">
        <v>42</v>
      </c>
      <c r="E344" s="94">
        <v>318.364</v>
      </c>
      <c r="F344" s="70"/>
      <c r="G344" s="70">
        <f t="shared" ref="G344:G364" si="18">F344*E344</f>
        <v>0</v>
      </c>
      <c r="H344" s="68" t="s">
        <v>15</v>
      </c>
      <c r="I344" s="79">
        <v>15</v>
      </c>
    </row>
    <row r="345" s="43" customFormat="1" ht="90" spans="1:9">
      <c r="A345" s="57">
        <v>2</v>
      </c>
      <c r="B345" s="39" t="s">
        <v>342</v>
      </c>
      <c r="C345" s="39" t="s">
        <v>343</v>
      </c>
      <c r="D345" s="94" t="s">
        <v>42</v>
      </c>
      <c r="E345" s="94">
        <v>22.672</v>
      </c>
      <c r="F345" s="70"/>
      <c r="G345" s="70">
        <f t="shared" si="18"/>
        <v>0</v>
      </c>
      <c r="H345" s="68" t="s">
        <v>15</v>
      </c>
      <c r="I345" s="79">
        <v>15</v>
      </c>
    </row>
    <row r="346" s="43" customFormat="1" ht="90" spans="1:9">
      <c r="A346" s="57">
        <v>3</v>
      </c>
      <c r="B346" s="39" t="s">
        <v>344</v>
      </c>
      <c r="C346" s="39" t="s">
        <v>345</v>
      </c>
      <c r="D346" s="94" t="s">
        <v>42</v>
      </c>
      <c r="E346" s="94">
        <v>59.496</v>
      </c>
      <c r="F346" s="70"/>
      <c r="G346" s="70">
        <f t="shared" si="18"/>
        <v>0</v>
      </c>
      <c r="H346" s="68" t="s">
        <v>15</v>
      </c>
      <c r="I346" s="79">
        <v>15</v>
      </c>
    </row>
    <row r="347" s="43" customFormat="1" ht="90" spans="1:9">
      <c r="A347" s="57">
        <v>4</v>
      </c>
      <c r="B347" s="39" t="s">
        <v>346</v>
      </c>
      <c r="C347" s="39" t="s">
        <v>347</v>
      </c>
      <c r="D347" s="94" t="s">
        <v>42</v>
      </c>
      <c r="E347" s="94">
        <v>10.396</v>
      </c>
      <c r="F347" s="70"/>
      <c r="G347" s="70">
        <f t="shared" si="18"/>
        <v>0</v>
      </c>
      <c r="H347" s="68" t="s">
        <v>15</v>
      </c>
      <c r="I347" s="79">
        <v>15</v>
      </c>
    </row>
    <row r="348" s="43" customFormat="1" ht="90" spans="1:9">
      <c r="A348" s="57">
        <v>5</v>
      </c>
      <c r="B348" s="39" t="s">
        <v>348</v>
      </c>
      <c r="C348" s="39" t="s">
        <v>349</v>
      </c>
      <c r="D348" s="94" t="s">
        <v>42</v>
      </c>
      <c r="E348" s="94">
        <v>55.46</v>
      </c>
      <c r="F348" s="70"/>
      <c r="G348" s="70">
        <f t="shared" si="18"/>
        <v>0</v>
      </c>
      <c r="H348" s="68" t="s">
        <v>15</v>
      </c>
      <c r="I348" s="79">
        <v>15</v>
      </c>
    </row>
    <row r="349" s="43" customFormat="1" ht="90" spans="1:9">
      <c r="A349" s="57">
        <v>6</v>
      </c>
      <c r="B349" s="39" t="s">
        <v>350</v>
      </c>
      <c r="C349" s="39" t="s">
        <v>351</v>
      </c>
      <c r="D349" s="94" t="s">
        <v>42</v>
      </c>
      <c r="E349" s="94">
        <v>14.524</v>
      </c>
      <c r="F349" s="70"/>
      <c r="G349" s="70">
        <f t="shared" si="18"/>
        <v>0</v>
      </c>
      <c r="H349" s="68" t="s">
        <v>15</v>
      </c>
      <c r="I349" s="79">
        <v>15</v>
      </c>
    </row>
    <row r="350" s="43" customFormat="1" ht="90" spans="1:9">
      <c r="A350" s="57">
        <v>7</v>
      </c>
      <c r="B350" s="39" t="s">
        <v>352</v>
      </c>
      <c r="C350" s="39" t="s">
        <v>353</v>
      </c>
      <c r="D350" s="94" t="s">
        <v>42</v>
      </c>
      <c r="E350" s="94">
        <v>0.9</v>
      </c>
      <c r="F350" s="70"/>
      <c r="G350" s="70">
        <f t="shared" si="18"/>
        <v>0</v>
      </c>
      <c r="H350" s="68" t="s">
        <v>15</v>
      </c>
      <c r="I350" s="79">
        <v>15</v>
      </c>
    </row>
    <row r="351" s="43" customFormat="1" ht="67.5" spans="1:9">
      <c r="A351" s="57">
        <v>8</v>
      </c>
      <c r="B351" s="39" t="s">
        <v>354</v>
      </c>
      <c r="C351" s="39" t="s">
        <v>355</v>
      </c>
      <c r="D351" s="94" t="s">
        <v>42</v>
      </c>
      <c r="E351" s="94">
        <v>34.3</v>
      </c>
      <c r="F351" s="70"/>
      <c r="G351" s="70">
        <f t="shared" si="18"/>
        <v>0</v>
      </c>
      <c r="H351" s="68" t="s">
        <v>15</v>
      </c>
      <c r="I351" s="79">
        <v>15</v>
      </c>
    </row>
    <row r="352" s="43" customFormat="1" ht="67.5" spans="1:9">
      <c r="A352" s="57">
        <v>9</v>
      </c>
      <c r="B352" s="39" t="s">
        <v>356</v>
      </c>
      <c r="C352" s="39" t="s">
        <v>357</v>
      </c>
      <c r="D352" s="94" t="s">
        <v>42</v>
      </c>
      <c r="E352" s="94">
        <v>74.912</v>
      </c>
      <c r="F352" s="70"/>
      <c r="G352" s="70">
        <f t="shared" si="18"/>
        <v>0</v>
      </c>
      <c r="H352" s="68" t="s">
        <v>15</v>
      </c>
      <c r="I352" s="79">
        <v>15</v>
      </c>
    </row>
    <row r="353" s="43" customFormat="1" ht="67.5" spans="1:9">
      <c r="A353" s="57">
        <v>10</v>
      </c>
      <c r="B353" s="39" t="s">
        <v>358</v>
      </c>
      <c r="C353" s="39" t="s">
        <v>359</v>
      </c>
      <c r="D353" s="94" t="s">
        <v>42</v>
      </c>
      <c r="E353" s="94">
        <v>153.324</v>
      </c>
      <c r="F353" s="70"/>
      <c r="G353" s="70">
        <f t="shared" si="18"/>
        <v>0</v>
      </c>
      <c r="H353" s="68" t="s">
        <v>15</v>
      </c>
      <c r="I353" s="79">
        <v>15</v>
      </c>
    </row>
    <row r="354" s="43" customFormat="1" ht="67.5" spans="1:9">
      <c r="A354" s="57">
        <v>11</v>
      </c>
      <c r="B354" s="39" t="s">
        <v>362</v>
      </c>
      <c r="C354" s="39" t="s">
        <v>363</v>
      </c>
      <c r="D354" s="94" t="s">
        <v>174</v>
      </c>
      <c r="E354" s="94">
        <v>1</v>
      </c>
      <c r="F354" s="70"/>
      <c r="G354" s="70">
        <f t="shared" si="18"/>
        <v>0</v>
      </c>
      <c r="H354" s="68" t="s">
        <v>15</v>
      </c>
      <c r="I354" s="79">
        <v>10</v>
      </c>
    </row>
    <row r="355" s="43" customFormat="1" ht="56.25" spans="1:9">
      <c r="A355" s="57">
        <v>12</v>
      </c>
      <c r="B355" s="39" t="s">
        <v>364</v>
      </c>
      <c r="C355" s="39" t="s">
        <v>365</v>
      </c>
      <c r="D355" s="94" t="s">
        <v>174</v>
      </c>
      <c r="E355" s="94">
        <v>2</v>
      </c>
      <c r="F355" s="70"/>
      <c r="G355" s="70">
        <f t="shared" si="18"/>
        <v>0</v>
      </c>
      <c r="H355" s="68" t="s">
        <v>15</v>
      </c>
      <c r="I355" s="79">
        <v>10</v>
      </c>
    </row>
    <row r="356" s="43" customFormat="1" ht="56.25" spans="1:9">
      <c r="A356" s="57">
        <v>13</v>
      </c>
      <c r="B356" s="39" t="s">
        <v>366</v>
      </c>
      <c r="C356" s="39" t="s">
        <v>367</v>
      </c>
      <c r="D356" s="94" t="s">
        <v>174</v>
      </c>
      <c r="E356" s="94">
        <v>12</v>
      </c>
      <c r="F356" s="70"/>
      <c r="G356" s="70">
        <f t="shared" si="18"/>
        <v>0</v>
      </c>
      <c r="H356" s="68" t="s">
        <v>15</v>
      </c>
      <c r="I356" s="79">
        <v>10</v>
      </c>
    </row>
    <row r="357" s="43" customFormat="1" ht="45" spans="1:9">
      <c r="A357" s="57">
        <v>14</v>
      </c>
      <c r="B357" s="39" t="s">
        <v>368</v>
      </c>
      <c r="C357" s="39" t="s">
        <v>369</v>
      </c>
      <c r="D357" s="94" t="s">
        <v>174</v>
      </c>
      <c r="E357" s="94">
        <v>12</v>
      </c>
      <c r="F357" s="70"/>
      <c r="G357" s="70">
        <f t="shared" si="18"/>
        <v>0</v>
      </c>
      <c r="H357" s="68" t="s">
        <v>15</v>
      </c>
      <c r="I357" s="79">
        <v>10</v>
      </c>
    </row>
    <row r="358" s="43" customFormat="1" ht="78.75" spans="1:9">
      <c r="A358" s="57">
        <v>15</v>
      </c>
      <c r="B358" s="39" t="s">
        <v>370</v>
      </c>
      <c r="C358" s="39" t="s">
        <v>371</v>
      </c>
      <c r="D358" s="94" t="s">
        <v>372</v>
      </c>
      <c r="E358" s="94">
        <v>23</v>
      </c>
      <c r="F358" s="70"/>
      <c r="G358" s="70">
        <f t="shared" si="18"/>
        <v>0</v>
      </c>
      <c r="H358" s="68" t="s">
        <v>15</v>
      </c>
      <c r="I358" s="79">
        <v>80</v>
      </c>
    </row>
    <row r="359" s="43" customFormat="1" ht="56.25" spans="1:9">
      <c r="A359" s="57">
        <v>16</v>
      </c>
      <c r="B359" s="39" t="s">
        <v>375</v>
      </c>
      <c r="C359" s="39" t="s">
        <v>376</v>
      </c>
      <c r="D359" s="94" t="s">
        <v>372</v>
      </c>
      <c r="E359" s="94">
        <v>18</v>
      </c>
      <c r="F359" s="70"/>
      <c r="G359" s="70">
        <f t="shared" si="18"/>
        <v>0</v>
      </c>
      <c r="H359" s="68" t="s">
        <v>15</v>
      </c>
      <c r="I359" s="79">
        <v>130</v>
      </c>
    </row>
    <row r="360" s="43" customFormat="1" ht="67.5" spans="1:9">
      <c r="A360" s="57">
        <v>17</v>
      </c>
      <c r="B360" s="39" t="s">
        <v>377</v>
      </c>
      <c r="C360" s="39" t="s">
        <v>378</v>
      </c>
      <c r="D360" s="94" t="s">
        <v>372</v>
      </c>
      <c r="E360" s="94">
        <v>42</v>
      </c>
      <c r="F360" s="70"/>
      <c r="G360" s="70">
        <f t="shared" si="18"/>
        <v>0</v>
      </c>
      <c r="H360" s="68" t="s">
        <v>15</v>
      </c>
      <c r="I360" s="79">
        <v>120</v>
      </c>
    </row>
    <row r="361" s="43" customFormat="1" ht="56.25" spans="1:9">
      <c r="A361" s="57">
        <v>18</v>
      </c>
      <c r="B361" s="39" t="s">
        <v>379</v>
      </c>
      <c r="C361" s="39" t="s">
        <v>380</v>
      </c>
      <c r="D361" s="94" t="s">
        <v>308</v>
      </c>
      <c r="E361" s="94">
        <v>4</v>
      </c>
      <c r="F361" s="70"/>
      <c r="G361" s="70">
        <f t="shared" si="18"/>
        <v>0</v>
      </c>
      <c r="H361" s="68" t="s">
        <v>15</v>
      </c>
      <c r="I361" s="79">
        <v>60</v>
      </c>
    </row>
    <row r="362" s="43" customFormat="1" ht="56.25" spans="1:9">
      <c r="A362" s="57">
        <v>19</v>
      </c>
      <c r="B362" s="39" t="s">
        <v>381</v>
      </c>
      <c r="C362" s="39" t="s">
        <v>382</v>
      </c>
      <c r="D362" s="94" t="s">
        <v>308</v>
      </c>
      <c r="E362" s="94">
        <v>8</v>
      </c>
      <c r="F362" s="70"/>
      <c r="G362" s="70">
        <f t="shared" si="18"/>
        <v>0</v>
      </c>
      <c r="H362" s="68" t="s">
        <v>15</v>
      </c>
      <c r="I362" s="79">
        <v>60</v>
      </c>
    </row>
    <row r="363" s="43" customFormat="1" ht="56.25" spans="1:9">
      <c r="A363" s="57">
        <v>20</v>
      </c>
      <c r="B363" s="39" t="s">
        <v>383</v>
      </c>
      <c r="C363" s="39" t="s">
        <v>384</v>
      </c>
      <c r="D363" s="94" t="s">
        <v>372</v>
      </c>
      <c r="E363" s="94">
        <v>3</v>
      </c>
      <c r="F363" s="70"/>
      <c r="G363" s="70">
        <f t="shared" si="18"/>
        <v>0</v>
      </c>
      <c r="H363" s="68" t="s">
        <v>15</v>
      </c>
      <c r="I363" s="79">
        <v>50</v>
      </c>
    </row>
    <row r="364" s="43" customFormat="1" ht="56.25" spans="1:9">
      <c r="A364" s="57">
        <v>21</v>
      </c>
      <c r="B364" s="39" t="s">
        <v>385</v>
      </c>
      <c r="C364" s="39" t="s">
        <v>386</v>
      </c>
      <c r="D364" s="94" t="s">
        <v>372</v>
      </c>
      <c r="E364" s="94">
        <v>1</v>
      </c>
      <c r="F364" s="70"/>
      <c r="G364" s="70">
        <f t="shared" si="18"/>
        <v>0</v>
      </c>
      <c r="H364" s="68" t="s">
        <v>15</v>
      </c>
      <c r="I364" s="79">
        <v>120</v>
      </c>
    </row>
    <row r="365" s="42" customFormat="1" ht="18" customHeight="1" spans="1:9">
      <c r="A365" s="84" t="s">
        <v>389</v>
      </c>
      <c r="B365" s="95" t="s">
        <v>390</v>
      </c>
      <c r="C365" s="92"/>
      <c r="D365" s="96"/>
      <c r="E365" s="85"/>
      <c r="F365" s="70"/>
      <c r="G365" s="82">
        <f>SUM(G366:G395)</f>
        <v>0</v>
      </c>
      <c r="H365" s="64"/>
      <c r="I365" s="97"/>
    </row>
    <row r="366" s="43" customFormat="1" ht="67.5" spans="1:9">
      <c r="A366" s="57">
        <v>1</v>
      </c>
      <c r="B366" s="39" t="s">
        <v>290</v>
      </c>
      <c r="C366" s="30" t="s">
        <v>391</v>
      </c>
      <c r="D366" s="94" t="s">
        <v>174</v>
      </c>
      <c r="E366" s="94">
        <v>9</v>
      </c>
      <c r="F366" s="70"/>
      <c r="G366" s="70">
        <f t="shared" ref="G366:G395" si="19">F366*E366</f>
        <v>0</v>
      </c>
      <c r="H366" s="68" t="s">
        <v>15</v>
      </c>
      <c r="I366" s="79">
        <v>10</v>
      </c>
    </row>
    <row r="367" s="43" customFormat="1" ht="67.5" spans="1:9">
      <c r="A367" s="57">
        <v>2</v>
      </c>
      <c r="B367" s="39" t="s">
        <v>392</v>
      </c>
      <c r="C367" s="30" t="s">
        <v>393</v>
      </c>
      <c r="D367" s="94" t="s">
        <v>174</v>
      </c>
      <c r="E367" s="94">
        <v>35</v>
      </c>
      <c r="F367" s="70"/>
      <c r="G367" s="70">
        <f t="shared" si="19"/>
        <v>0</v>
      </c>
      <c r="H367" s="68" t="s">
        <v>15</v>
      </c>
      <c r="I367" s="79">
        <v>10</v>
      </c>
    </row>
    <row r="368" s="43" customFormat="1" ht="67.5" spans="1:9">
      <c r="A368" s="57">
        <v>3</v>
      </c>
      <c r="B368" s="39" t="s">
        <v>394</v>
      </c>
      <c r="C368" s="30" t="s">
        <v>395</v>
      </c>
      <c r="D368" s="94" t="s">
        <v>174</v>
      </c>
      <c r="E368" s="94">
        <v>11</v>
      </c>
      <c r="F368" s="70"/>
      <c r="G368" s="70">
        <f t="shared" si="19"/>
        <v>0</v>
      </c>
      <c r="H368" s="68" t="s">
        <v>15</v>
      </c>
      <c r="I368" s="79">
        <v>10</v>
      </c>
    </row>
    <row r="369" s="43" customFormat="1" ht="67.5" spans="1:9">
      <c r="A369" s="57">
        <v>4</v>
      </c>
      <c r="B369" s="39" t="s">
        <v>303</v>
      </c>
      <c r="C369" s="30" t="s">
        <v>396</v>
      </c>
      <c r="D369" s="94" t="s">
        <v>174</v>
      </c>
      <c r="E369" s="94">
        <v>70</v>
      </c>
      <c r="F369" s="70"/>
      <c r="G369" s="70">
        <f t="shared" si="19"/>
        <v>0</v>
      </c>
      <c r="H369" s="68" t="s">
        <v>15</v>
      </c>
      <c r="I369" s="79">
        <v>5</v>
      </c>
    </row>
    <row r="370" s="43" customFormat="1" ht="67.5" spans="1:9">
      <c r="A370" s="57">
        <v>5</v>
      </c>
      <c r="B370" s="39" t="s">
        <v>397</v>
      </c>
      <c r="C370" s="30" t="s">
        <v>398</v>
      </c>
      <c r="D370" s="94" t="s">
        <v>42</v>
      </c>
      <c r="E370" s="94">
        <v>14.93</v>
      </c>
      <c r="F370" s="70"/>
      <c r="G370" s="70">
        <f t="shared" si="19"/>
        <v>0</v>
      </c>
      <c r="H370" s="68" t="s">
        <v>15</v>
      </c>
      <c r="I370" s="79">
        <v>30</v>
      </c>
    </row>
    <row r="371" s="43" customFormat="1" ht="67.5" spans="1:9">
      <c r="A371" s="57">
        <v>6</v>
      </c>
      <c r="B371" s="39" t="s">
        <v>399</v>
      </c>
      <c r="C371" s="30" t="s">
        <v>400</v>
      </c>
      <c r="D371" s="94" t="s">
        <v>42</v>
      </c>
      <c r="E371" s="94">
        <v>23.12</v>
      </c>
      <c r="F371" s="70"/>
      <c r="G371" s="70">
        <f t="shared" si="19"/>
        <v>0</v>
      </c>
      <c r="H371" s="68" t="s">
        <v>15</v>
      </c>
      <c r="I371" s="79">
        <v>30</v>
      </c>
    </row>
    <row r="372" s="43" customFormat="1" ht="56.25" spans="1:9">
      <c r="A372" s="57">
        <v>7</v>
      </c>
      <c r="B372" s="39" t="s">
        <v>401</v>
      </c>
      <c r="C372" s="39" t="s">
        <v>402</v>
      </c>
      <c r="D372" s="94" t="s">
        <v>403</v>
      </c>
      <c r="E372" s="94">
        <v>30.72</v>
      </c>
      <c r="F372" s="70"/>
      <c r="G372" s="70">
        <f t="shared" si="19"/>
        <v>0</v>
      </c>
      <c r="H372" s="68" t="s">
        <v>15</v>
      </c>
      <c r="I372" s="79">
        <v>3.5</v>
      </c>
    </row>
    <row r="373" s="43" customFormat="1" ht="90" spans="1:9">
      <c r="A373" s="57">
        <v>8</v>
      </c>
      <c r="B373" s="39" t="s">
        <v>317</v>
      </c>
      <c r="C373" s="39" t="s">
        <v>404</v>
      </c>
      <c r="D373" s="94" t="s">
        <v>42</v>
      </c>
      <c r="E373" s="94">
        <v>467.62</v>
      </c>
      <c r="F373" s="70"/>
      <c r="G373" s="70">
        <f t="shared" si="19"/>
        <v>0</v>
      </c>
      <c r="H373" s="68" t="s">
        <v>15</v>
      </c>
      <c r="I373" s="79">
        <v>8.5</v>
      </c>
    </row>
    <row r="374" s="43" customFormat="1" ht="90" spans="1:9">
      <c r="A374" s="57">
        <v>9</v>
      </c>
      <c r="B374" s="39" t="s">
        <v>405</v>
      </c>
      <c r="C374" s="39" t="s">
        <v>406</v>
      </c>
      <c r="D374" s="94" t="s">
        <v>42</v>
      </c>
      <c r="E374" s="94">
        <v>80.48</v>
      </c>
      <c r="F374" s="70"/>
      <c r="G374" s="70">
        <f t="shared" si="19"/>
        <v>0</v>
      </c>
      <c r="H374" s="68" t="s">
        <v>15</v>
      </c>
      <c r="I374" s="79">
        <v>8.5</v>
      </c>
    </row>
    <row r="375" s="43" customFormat="1" ht="90" spans="1:9">
      <c r="A375" s="57">
        <v>10</v>
      </c>
      <c r="B375" s="39" t="s">
        <v>319</v>
      </c>
      <c r="C375" s="39" t="s">
        <v>407</v>
      </c>
      <c r="D375" s="94" t="s">
        <v>42</v>
      </c>
      <c r="E375" s="94">
        <v>101.2</v>
      </c>
      <c r="F375" s="70"/>
      <c r="G375" s="70">
        <f t="shared" si="19"/>
        <v>0</v>
      </c>
      <c r="H375" s="68" t="s">
        <v>15</v>
      </c>
      <c r="I375" s="79">
        <v>8.5</v>
      </c>
    </row>
    <row r="376" s="43" customFormat="1" ht="90" spans="1:9">
      <c r="A376" s="57">
        <v>11</v>
      </c>
      <c r="B376" s="39" t="s">
        <v>408</v>
      </c>
      <c r="C376" s="39" t="s">
        <v>409</v>
      </c>
      <c r="D376" s="94" t="s">
        <v>42</v>
      </c>
      <c r="E376" s="94">
        <v>37.27</v>
      </c>
      <c r="F376" s="70"/>
      <c r="G376" s="70">
        <f t="shared" si="19"/>
        <v>0</v>
      </c>
      <c r="H376" s="68" t="s">
        <v>15</v>
      </c>
      <c r="I376" s="79">
        <v>8.5</v>
      </c>
    </row>
    <row r="377" s="43" customFormat="1" ht="90" spans="1:9">
      <c r="A377" s="57">
        <v>12</v>
      </c>
      <c r="B377" s="39" t="s">
        <v>410</v>
      </c>
      <c r="C377" s="39" t="s">
        <v>411</v>
      </c>
      <c r="D377" s="94" t="s">
        <v>42</v>
      </c>
      <c r="E377" s="94">
        <v>79.78</v>
      </c>
      <c r="F377" s="70"/>
      <c r="G377" s="70">
        <f t="shared" si="19"/>
        <v>0</v>
      </c>
      <c r="H377" s="68" t="s">
        <v>15</v>
      </c>
      <c r="I377" s="79">
        <v>8.5</v>
      </c>
    </row>
    <row r="378" s="43" customFormat="1" ht="90" spans="1:9">
      <c r="A378" s="57">
        <v>13</v>
      </c>
      <c r="B378" s="39" t="s">
        <v>412</v>
      </c>
      <c r="C378" s="39" t="s">
        <v>413</v>
      </c>
      <c r="D378" s="94" t="s">
        <v>42</v>
      </c>
      <c r="E378" s="94">
        <v>30.13</v>
      </c>
      <c r="F378" s="70"/>
      <c r="G378" s="70">
        <f t="shared" si="19"/>
        <v>0</v>
      </c>
      <c r="H378" s="68" t="s">
        <v>15</v>
      </c>
      <c r="I378" s="79">
        <v>8.5</v>
      </c>
    </row>
    <row r="379" s="43" customFormat="1" ht="56.25" spans="1:9">
      <c r="A379" s="57">
        <v>14</v>
      </c>
      <c r="B379" s="39" t="s">
        <v>414</v>
      </c>
      <c r="C379" s="39" t="s">
        <v>415</v>
      </c>
      <c r="D379" s="94" t="s">
        <v>42</v>
      </c>
      <c r="E379" s="94">
        <v>647.87</v>
      </c>
      <c r="F379" s="70"/>
      <c r="G379" s="70">
        <f t="shared" si="19"/>
        <v>0</v>
      </c>
      <c r="H379" s="68" t="s">
        <v>15</v>
      </c>
      <c r="I379" s="79">
        <v>8.5</v>
      </c>
    </row>
    <row r="380" s="43" customFormat="1" ht="56.25" spans="1:9">
      <c r="A380" s="57">
        <v>15</v>
      </c>
      <c r="B380" s="39" t="s">
        <v>416</v>
      </c>
      <c r="C380" s="39" t="s">
        <v>417</v>
      </c>
      <c r="D380" s="94" t="s">
        <v>42</v>
      </c>
      <c r="E380" s="94">
        <v>60.79</v>
      </c>
      <c r="F380" s="70"/>
      <c r="G380" s="70">
        <f t="shared" si="19"/>
        <v>0</v>
      </c>
      <c r="H380" s="68" t="s">
        <v>15</v>
      </c>
      <c r="I380" s="79">
        <v>8.5</v>
      </c>
    </row>
    <row r="381" s="43" customFormat="1" ht="56.25" spans="1:9">
      <c r="A381" s="57">
        <v>16</v>
      </c>
      <c r="B381" s="39" t="s">
        <v>418</v>
      </c>
      <c r="C381" s="39" t="s">
        <v>419</v>
      </c>
      <c r="D381" s="94" t="s">
        <v>42</v>
      </c>
      <c r="E381" s="94">
        <v>104.5</v>
      </c>
      <c r="F381" s="70"/>
      <c r="G381" s="70">
        <f t="shared" si="19"/>
        <v>0</v>
      </c>
      <c r="H381" s="68" t="s">
        <v>15</v>
      </c>
      <c r="I381" s="79">
        <v>8.5</v>
      </c>
    </row>
    <row r="382" s="43" customFormat="1" ht="56.25" spans="1:9">
      <c r="A382" s="57">
        <v>17</v>
      </c>
      <c r="B382" s="39" t="s">
        <v>420</v>
      </c>
      <c r="C382" s="39" t="s">
        <v>421</v>
      </c>
      <c r="D382" s="94" t="s">
        <v>42</v>
      </c>
      <c r="E382" s="94">
        <v>63.45</v>
      </c>
      <c r="F382" s="70"/>
      <c r="G382" s="70">
        <f t="shared" si="19"/>
        <v>0</v>
      </c>
      <c r="H382" s="68" t="s">
        <v>15</v>
      </c>
      <c r="I382" s="79">
        <v>8.5</v>
      </c>
    </row>
    <row r="383" s="43" customFormat="1" ht="56.25" spans="1:9">
      <c r="A383" s="57">
        <v>18</v>
      </c>
      <c r="B383" s="39" t="s">
        <v>422</v>
      </c>
      <c r="C383" s="39" t="s">
        <v>423</v>
      </c>
      <c r="D383" s="94" t="s">
        <v>42</v>
      </c>
      <c r="E383" s="94">
        <v>67.11</v>
      </c>
      <c r="F383" s="70"/>
      <c r="G383" s="70">
        <f t="shared" si="19"/>
        <v>0</v>
      </c>
      <c r="H383" s="68" t="s">
        <v>15</v>
      </c>
      <c r="I383" s="79">
        <v>8.5</v>
      </c>
    </row>
    <row r="384" s="43" customFormat="1" ht="56.25" spans="1:9">
      <c r="A384" s="57">
        <v>19</v>
      </c>
      <c r="B384" s="39" t="s">
        <v>424</v>
      </c>
      <c r="C384" s="39" t="s">
        <v>425</v>
      </c>
      <c r="D384" s="94" t="s">
        <v>42</v>
      </c>
      <c r="E384" s="94">
        <v>37.29</v>
      </c>
      <c r="F384" s="70"/>
      <c r="G384" s="70">
        <f t="shared" si="19"/>
        <v>0</v>
      </c>
      <c r="H384" s="68" t="s">
        <v>15</v>
      </c>
      <c r="I384" s="79">
        <v>8.5</v>
      </c>
    </row>
    <row r="385" s="43" customFormat="1" ht="67.5" spans="1:9">
      <c r="A385" s="57">
        <v>20</v>
      </c>
      <c r="B385" s="39" t="s">
        <v>426</v>
      </c>
      <c r="C385" s="39" t="s">
        <v>427</v>
      </c>
      <c r="D385" s="94" t="s">
        <v>174</v>
      </c>
      <c r="E385" s="94">
        <v>4</v>
      </c>
      <c r="F385" s="70"/>
      <c r="G385" s="70">
        <f t="shared" si="19"/>
        <v>0</v>
      </c>
      <c r="H385" s="68" t="s">
        <v>15</v>
      </c>
      <c r="I385" s="79">
        <v>30</v>
      </c>
    </row>
    <row r="386" s="43" customFormat="1" ht="56.25" spans="1:9">
      <c r="A386" s="57">
        <v>21</v>
      </c>
      <c r="B386" s="39" t="s">
        <v>428</v>
      </c>
      <c r="C386" s="39" t="s">
        <v>429</v>
      </c>
      <c r="D386" s="94" t="s">
        <v>42</v>
      </c>
      <c r="E386" s="94">
        <v>26.95</v>
      </c>
      <c r="F386" s="70"/>
      <c r="G386" s="70">
        <f t="shared" si="19"/>
        <v>0</v>
      </c>
      <c r="H386" s="68" t="s">
        <v>15</v>
      </c>
      <c r="I386" s="79">
        <v>8.5</v>
      </c>
    </row>
    <row r="387" s="43" customFormat="1" ht="67.5" spans="1:9">
      <c r="A387" s="57">
        <v>22</v>
      </c>
      <c r="B387" s="39" t="s">
        <v>430</v>
      </c>
      <c r="C387" s="39" t="s">
        <v>431</v>
      </c>
      <c r="D387" s="94" t="s">
        <v>174</v>
      </c>
      <c r="E387" s="94">
        <v>2</v>
      </c>
      <c r="F387" s="70"/>
      <c r="G387" s="70">
        <f t="shared" si="19"/>
        <v>0</v>
      </c>
      <c r="H387" s="68" t="s">
        <v>15</v>
      </c>
      <c r="I387" s="79">
        <v>30</v>
      </c>
    </row>
    <row r="388" s="43" customFormat="1" ht="56.25" spans="1:9">
      <c r="A388" s="57">
        <v>23</v>
      </c>
      <c r="B388" s="39" t="s">
        <v>432</v>
      </c>
      <c r="C388" s="39" t="s">
        <v>433</v>
      </c>
      <c r="D388" s="94" t="s">
        <v>42</v>
      </c>
      <c r="E388" s="94">
        <v>16.23</v>
      </c>
      <c r="F388" s="70"/>
      <c r="G388" s="70">
        <f t="shared" si="19"/>
        <v>0</v>
      </c>
      <c r="H388" s="68" t="s">
        <v>15</v>
      </c>
      <c r="I388" s="79">
        <v>8.5</v>
      </c>
    </row>
    <row r="389" s="43" customFormat="1" ht="67.5" spans="1:9">
      <c r="A389" s="57">
        <v>24</v>
      </c>
      <c r="B389" s="39" t="s">
        <v>434</v>
      </c>
      <c r="C389" s="39" t="s">
        <v>435</v>
      </c>
      <c r="D389" s="94" t="s">
        <v>174</v>
      </c>
      <c r="E389" s="94">
        <v>2</v>
      </c>
      <c r="F389" s="70"/>
      <c r="G389" s="70">
        <f t="shared" si="19"/>
        <v>0</v>
      </c>
      <c r="H389" s="68" t="s">
        <v>15</v>
      </c>
      <c r="I389" s="79">
        <v>30</v>
      </c>
    </row>
    <row r="390" s="43" customFormat="1" ht="56.25" spans="1:9">
      <c r="A390" s="57">
        <v>25</v>
      </c>
      <c r="B390" s="39" t="s">
        <v>436</v>
      </c>
      <c r="C390" s="39" t="s">
        <v>437</v>
      </c>
      <c r="D390" s="94" t="s">
        <v>42</v>
      </c>
      <c r="E390" s="94">
        <v>23.66</v>
      </c>
      <c r="F390" s="70"/>
      <c r="G390" s="70">
        <f t="shared" si="19"/>
        <v>0</v>
      </c>
      <c r="H390" s="68" t="s">
        <v>15</v>
      </c>
      <c r="I390" s="79">
        <v>8.5</v>
      </c>
    </row>
    <row r="391" s="43" customFormat="1" ht="67.5" spans="1:9">
      <c r="A391" s="57">
        <v>26</v>
      </c>
      <c r="B391" s="39" t="s">
        <v>438</v>
      </c>
      <c r="C391" s="39" t="s">
        <v>439</v>
      </c>
      <c r="D391" s="94" t="s">
        <v>174</v>
      </c>
      <c r="E391" s="94">
        <v>4</v>
      </c>
      <c r="F391" s="70"/>
      <c r="G391" s="70">
        <f t="shared" si="19"/>
        <v>0</v>
      </c>
      <c r="H391" s="68" t="s">
        <v>15</v>
      </c>
      <c r="I391" s="79">
        <v>30</v>
      </c>
    </row>
    <row r="392" s="43" customFormat="1" ht="56.25" spans="1:9">
      <c r="A392" s="57">
        <v>27</v>
      </c>
      <c r="B392" s="39" t="s">
        <v>440</v>
      </c>
      <c r="C392" s="39" t="s">
        <v>441</v>
      </c>
      <c r="D392" s="94" t="s">
        <v>42</v>
      </c>
      <c r="E392" s="94">
        <v>27.83</v>
      </c>
      <c r="F392" s="70"/>
      <c r="G392" s="70">
        <f t="shared" si="19"/>
        <v>0</v>
      </c>
      <c r="H392" s="68" t="s">
        <v>15</v>
      </c>
      <c r="I392" s="79">
        <v>8.5</v>
      </c>
    </row>
    <row r="393" s="43" customFormat="1" ht="67.5" spans="1:9">
      <c r="A393" s="57">
        <v>28</v>
      </c>
      <c r="B393" s="39" t="s">
        <v>442</v>
      </c>
      <c r="C393" s="39" t="s">
        <v>443</v>
      </c>
      <c r="D393" s="94" t="s">
        <v>174</v>
      </c>
      <c r="E393" s="94">
        <v>2</v>
      </c>
      <c r="F393" s="70"/>
      <c r="G393" s="70">
        <f t="shared" si="19"/>
        <v>0</v>
      </c>
      <c r="H393" s="68" t="s">
        <v>15</v>
      </c>
      <c r="I393" s="79">
        <v>30</v>
      </c>
    </row>
    <row r="394" s="43" customFormat="1" ht="56.25" spans="1:9">
      <c r="A394" s="57">
        <v>29</v>
      </c>
      <c r="B394" s="39" t="s">
        <v>444</v>
      </c>
      <c r="C394" s="39" t="s">
        <v>445</v>
      </c>
      <c r="D394" s="94" t="s">
        <v>42</v>
      </c>
      <c r="E394" s="94">
        <v>22.02</v>
      </c>
      <c r="F394" s="70"/>
      <c r="G394" s="70">
        <f t="shared" si="19"/>
        <v>0</v>
      </c>
      <c r="H394" s="68" t="s">
        <v>15</v>
      </c>
      <c r="I394" s="79">
        <v>8.5</v>
      </c>
    </row>
    <row r="395" s="43" customFormat="1" ht="67.5" spans="1:9">
      <c r="A395" s="57">
        <v>30</v>
      </c>
      <c r="B395" s="39" t="s">
        <v>446</v>
      </c>
      <c r="C395" s="39" t="s">
        <v>447</v>
      </c>
      <c r="D395" s="94" t="s">
        <v>174</v>
      </c>
      <c r="E395" s="94">
        <v>2</v>
      </c>
      <c r="F395" s="70"/>
      <c r="G395" s="70">
        <f t="shared" si="19"/>
        <v>0</v>
      </c>
      <c r="H395" s="68" t="s">
        <v>15</v>
      </c>
      <c r="I395" s="79">
        <v>30</v>
      </c>
    </row>
    <row r="396" s="42" customFormat="1" ht="19" customHeight="1" spans="1:9">
      <c r="A396" s="84" t="s">
        <v>448</v>
      </c>
      <c r="B396" s="91" t="s">
        <v>449</v>
      </c>
      <c r="C396" s="92"/>
      <c r="D396" s="96"/>
      <c r="E396" s="85"/>
      <c r="F396" s="70"/>
      <c r="G396" s="82">
        <f>SUM(G397:G418)</f>
        <v>0</v>
      </c>
      <c r="H396" s="64"/>
      <c r="I396" s="97"/>
    </row>
    <row r="397" s="43" customFormat="1" ht="90" spans="1:9">
      <c r="A397" s="57">
        <v>1</v>
      </c>
      <c r="B397" s="39" t="s">
        <v>340</v>
      </c>
      <c r="C397" s="39" t="s">
        <v>341</v>
      </c>
      <c r="D397" s="94" t="s">
        <v>42</v>
      </c>
      <c r="E397" s="94">
        <v>81.51</v>
      </c>
      <c r="F397" s="70"/>
      <c r="G397" s="70">
        <f t="shared" ref="G397:G418" si="20">F397*E397</f>
        <v>0</v>
      </c>
      <c r="H397" s="68" t="s">
        <v>15</v>
      </c>
      <c r="I397" s="79">
        <v>15</v>
      </c>
    </row>
    <row r="398" s="43" customFormat="1" ht="90" spans="1:9">
      <c r="A398" s="57">
        <v>2</v>
      </c>
      <c r="B398" s="39" t="s">
        <v>342</v>
      </c>
      <c r="C398" s="39" t="s">
        <v>343</v>
      </c>
      <c r="D398" s="94" t="s">
        <v>42</v>
      </c>
      <c r="E398" s="94">
        <v>24.75</v>
      </c>
      <c r="F398" s="70"/>
      <c r="G398" s="70">
        <f t="shared" si="20"/>
        <v>0</v>
      </c>
      <c r="H398" s="68" t="s">
        <v>15</v>
      </c>
      <c r="I398" s="79">
        <v>15</v>
      </c>
    </row>
    <row r="399" s="43" customFormat="1" ht="90" spans="1:9">
      <c r="A399" s="57">
        <v>3</v>
      </c>
      <c r="B399" s="39" t="s">
        <v>344</v>
      </c>
      <c r="C399" s="39" t="s">
        <v>345</v>
      </c>
      <c r="D399" s="94" t="s">
        <v>42</v>
      </c>
      <c r="E399" s="94">
        <v>18.32</v>
      </c>
      <c r="F399" s="70"/>
      <c r="G399" s="70">
        <f t="shared" si="20"/>
        <v>0</v>
      </c>
      <c r="H399" s="68" t="s">
        <v>15</v>
      </c>
      <c r="I399" s="79">
        <v>15</v>
      </c>
    </row>
    <row r="400" s="43" customFormat="1" ht="90" spans="1:9">
      <c r="A400" s="57">
        <v>4</v>
      </c>
      <c r="B400" s="39" t="s">
        <v>450</v>
      </c>
      <c r="C400" s="39" t="s">
        <v>451</v>
      </c>
      <c r="D400" s="94" t="s">
        <v>42</v>
      </c>
      <c r="E400" s="94">
        <v>8.83</v>
      </c>
      <c r="F400" s="70"/>
      <c r="G400" s="70">
        <f t="shared" si="20"/>
        <v>0</v>
      </c>
      <c r="H400" s="68" t="s">
        <v>15</v>
      </c>
      <c r="I400" s="79">
        <v>15</v>
      </c>
    </row>
    <row r="401" s="43" customFormat="1" ht="90" spans="1:9">
      <c r="A401" s="57">
        <v>5</v>
      </c>
      <c r="B401" s="39" t="s">
        <v>346</v>
      </c>
      <c r="C401" s="39" t="s">
        <v>347</v>
      </c>
      <c r="D401" s="94" t="s">
        <v>42</v>
      </c>
      <c r="E401" s="94">
        <v>10.79</v>
      </c>
      <c r="F401" s="70"/>
      <c r="G401" s="70">
        <f t="shared" si="20"/>
        <v>0</v>
      </c>
      <c r="H401" s="68" t="s">
        <v>15</v>
      </c>
      <c r="I401" s="79">
        <v>15</v>
      </c>
    </row>
    <row r="402" s="43" customFormat="1" ht="90" spans="1:9">
      <c r="A402" s="57">
        <v>6</v>
      </c>
      <c r="B402" s="39" t="s">
        <v>348</v>
      </c>
      <c r="C402" s="39" t="s">
        <v>349</v>
      </c>
      <c r="D402" s="94" t="s">
        <v>42</v>
      </c>
      <c r="E402" s="94">
        <v>13.24</v>
      </c>
      <c r="F402" s="70"/>
      <c r="G402" s="70">
        <f t="shared" si="20"/>
        <v>0</v>
      </c>
      <c r="H402" s="68" t="s">
        <v>15</v>
      </c>
      <c r="I402" s="79">
        <v>15</v>
      </c>
    </row>
    <row r="403" s="43" customFormat="1" ht="90" spans="1:9">
      <c r="A403" s="57">
        <v>7</v>
      </c>
      <c r="B403" s="39" t="s">
        <v>350</v>
      </c>
      <c r="C403" s="39" t="s">
        <v>351</v>
      </c>
      <c r="D403" s="94" t="s">
        <v>42</v>
      </c>
      <c r="E403" s="94">
        <v>5.62</v>
      </c>
      <c r="F403" s="70"/>
      <c r="G403" s="70">
        <f t="shared" si="20"/>
        <v>0</v>
      </c>
      <c r="H403" s="68" t="s">
        <v>15</v>
      </c>
      <c r="I403" s="79">
        <v>15</v>
      </c>
    </row>
    <row r="404" s="43" customFormat="1" ht="90" spans="1:9">
      <c r="A404" s="57">
        <v>8</v>
      </c>
      <c r="B404" s="39" t="s">
        <v>352</v>
      </c>
      <c r="C404" s="39" t="s">
        <v>353</v>
      </c>
      <c r="D404" s="94" t="s">
        <v>42</v>
      </c>
      <c r="E404" s="94">
        <v>7.2</v>
      </c>
      <c r="F404" s="70"/>
      <c r="G404" s="70">
        <f t="shared" si="20"/>
        <v>0</v>
      </c>
      <c r="H404" s="68" t="s">
        <v>15</v>
      </c>
      <c r="I404" s="79">
        <v>15</v>
      </c>
    </row>
    <row r="405" s="43" customFormat="1" ht="90" spans="1:9">
      <c r="A405" s="57">
        <v>9</v>
      </c>
      <c r="B405" s="39" t="s">
        <v>452</v>
      </c>
      <c r="C405" s="39" t="s">
        <v>453</v>
      </c>
      <c r="D405" s="94" t="s">
        <v>42</v>
      </c>
      <c r="E405" s="94">
        <v>4.4</v>
      </c>
      <c r="F405" s="70"/>
      <c r="G405" s="70">
        <f t="shared" si="20"/>
        <v>0</v>
      </c>
      <c r="H405" s="68" t="s">
        <v>15</v>
      </c>
      <c r="I405" s="79">
        <v>15</v>
      </c>
    </row>
    <row r="406" s="43" customFormat="1" ht="67.5" spans="1:9">
      <c r="A406" s="57">
        <v>10</v>
      </c>
      <c r="B406" s="39" t="s">
        <v>356</v>
      </c>
      <c r="C406" s="39" t="s">
        <v>357</v>
      </c>
      <c r="D406" s="94" t="s">
        <v>42</v>
      </c>
      <c r="E406" s="94">
        <v>11.75</v>
      </c>
      <c r="F406" s="70"/>
      <c r="G406" s="70">
        <f t="shared" si="20"/>
        <v>0</v>
      </c>
      <c r="H406" s="68" t="s">
        <v>15</v>
      </c>
      <c r="I406" s="79">
        <v>15</v>
      </c>
    </row>
    <row r="407" s="43" customFormat="1" ht="67.5" spans="1:9">
      <c r="A407" s="57">
        <v>11</v>
      </c>
      <c r="B407" s="39" t="s">
        <v>358</v>
      </c>
      <c r="C407" s="39" t="s">
        <v>359</v>
      </c>
      <c r="D407" s="94" t="s">
        <v>42</v>
      </c>
      <c r="E407" s="94">
        <v>10.94</v>
      </c>
      <c r="F407" s="70"/>
      <c r="G407" s="70">
        <f t="shared" si="20"/>
        <v>0</v>
      </c>
      <c r="H407" s="68" t="s">
        <v>15</v>
      </c>
      <c r="I407" s="79">
        <v>15</v>
      </c>
    </row>
    <row r="408" s="43" customFormat="1" ht="67.5" spans="1:9">
      <c r="A408" s="57">
        <v>12</v>
      </c>
      <c r="B408" s="39" t="s">
        <v>454</v>
      </c>
      <c r="C408" s="39" t="s">
        <v>455</v>
      </c>
      <c r="D408" s="94" t="s">
        <v>42</v>
      </c>
      <c r="E408" s="94">
        <v>37.73</v>
      </c>
      <c r="F408" s="70"/>
      <c r="G408" s="70">
        <f t="shared" si="20"/>
        <v>0</v>
      </c>
      <c r="H408" s="68" t="s">
        <v>15</v>
      </c>
      <c r="I408" s="79">
        <v>15</v>
      </c>
    </row>
    <row r="409" s="43" customFormat="1" ht="67.5" spans="1:9">
      <c r="A409" s="57">
        <v>13</v>
      </c>
      <c r="B409" s="39" t="s">
        <v>360</v>
      </c>
      <c r="C409" s="39" t="s">
        <v>361</v>
      </c>
      <c r="D409" s="94" t="s">
        <v>174</v>
      </c>
      <c r="E409" s="94">
        <v>1</v>
      </c>
      <c r="F409" s="70"/>
      <c r="G409" s="70">
        <f t="shared" si="20"/>
        <v>0</v>
      </c>
      <c r="H409" s="68" t="s">
        <v>15</v>
      </c>
      <c r="I409" s="79">
        <v>10</v>
      </c>
    </row>
    <row r="410" s="43" customFormat="1" ht="67.5" spans="1:9">
      <c r="A410" s="57">
        <v>14</v>
      </c>
      <c r="B410" s="39" t="s">
        <v>456</v>
      </c>
      <c r="C410" s="39" t="s">
        <v>457</v>
      </c>
      <c r="D410" s="94" t="s">
        <v>174</v>
      </c>
      <c r="E410" s="94">
        <v>2</v>
      </c>
      <c r="F410" s="70"/>
      <c r="G410" s="70">
        <f t="shared" si="20"/>
        <v>0</v>
      </c>
      <c r="H410" s="68" t="s">
        <v>15</v>
      </c>
      <c r="I410" s="79">
        <v>10</v>
      </c>
    </row>
    <row r="411" s="43" customFormat="1" ht="45" spans="1:9">
      <c r="A411" s="57">
        <v>15</v>
      </c>
      <c r="B411" s="39" t="s">
        <v>458</v>
      </c>
      <c r="C411" s="39" t="s">
        <v>459</v>
      </c>
      <c r="D411" s="94" t="s">
        <v>174</v>
      </c>
      <c r="E411" s="94">
        <v>1</v>
      </c>
      <c r="F411" s="70"/>
      <c r="G411" s="70">
        <f t="shared" si="20"/>
        <v>0</v>
      </c>
      <c r="H411" s="68" t="s">
        <v>15</v>
      </c>
      <c r="I411" s="79">
        <v>10</v>
      </c>
    </row>
    <row r="412" s="43" customFormat="1" ht="56.25" spans="1:9">
      <c r="A412" s="57">
        <v>16</v>
      </c>
      <c r="B412" s="39" t="s">
        <v>366</v>
      </c>
      <c r="C412" s="39" t="s">
        <v>367</v>
      </c>
      <c r="D412" s="94" t="s">
        <v>174</v>
      </c>
      <c r="E412" s="94">
        <v>25</v>
      </c>
      <c r="F412" s="70"/>
      <c r="G412" s="70">
        <f t="shared" si="20"/>
        <v>0</v>
      </c>
      <c r="H412" s="68" t="s">
        <v>15</v>
      </c>
      <c r="I412" s="79">
        <v>10</v>
      </c>
    </row>
    <row r="413" s="43" customFormat="1" ht="56.25" spans="1:9">
      <c r="A413" s="57">
        <v>17</v>
      </c>
      <c r="B413" s="39" t="s">
        <v>460</v>
      </c>
      <c r="C413" s="39" t="s">
        <v>461</v>
      </c>
      <c r="D413" s="94" t="s">
        <v>174</v>
      </c>
      <c r="E413" s="94">
        <v>15</v>
      </c>
      <c r="F413" s="70"/>
      <c r="G413" s="70">
        <f t="shared" si="20"/>
        <v>0</v>
      </c>
      <c r="H413" s="68" t="s">
        <v>15</v>
      </c>
      <c r="I413" s="79">
        <v>10</v>
      </c>
    </row>
    <row r="414" s="43" customFormat="1" ht="56.25" spans="1:9">
      <c r="A414" s="57">
        <v>18</v>
      </c>
      <c r="B414" s="39" t="s">
        <v>462</v>
      </c>
      <c r="C414" s="39" t="s">
        <v>463</v>
      </c>
      <c r="D414" s="94" t="s">
        <v>174</v>
      </c>
      <c r="E414" s="94">
        <v>1</v>
      </c>
      <c r="F414" s="70"/>
      <c r="G414" s="70">
        <f t="shared" si="20"/>
        <v>0</v>
      </c>
      <c r="H414" s="68" t="s">
        <v>15</v>
      </c>
      <c r="I414" s="79">
        <v>10</v>
      </c>
    </row>
    <row r="415" s="43" customFormat="1" ht="52" customHeight="1" spans="1:9">
      <c r="A415" s="57">
        <v>19</v>
      </c>
      <c r="B415" s="39" t="s">
        <v>368</v>
      </c>
      <c r="C415" s="39" t="s">
        <v>369</v>
      </c>
      <c r="D415" s="94" t="s">
        <v>174</v>
      </c>
      <c r="E415" s="94">
        <v>2</v>
      </c>
      <c r="F415" s="70"/>
      <c r="G415" s="70">
        <f t="shared" si="20"/>
        <v>0</v>
      </c>
      <c r="H415" s="68" t="s">
        <v>15</v>
      </c>
      <c r="I415" s="79">
        <v>10</v>
      </c>
    </row>
    <row r="416" s="43" customFormat="1" ht="45" spans="1:9">
      <c r="A416" s="57">
        <v>20</v>
      </c>
      <c r="B416" s="39" t="s">
        <v>464</v>
      </c>
      <c r="C416" s="39" t="s">
        <v>465</v>
      </c>
      <c r="D416" s="94" t="s">
        <v>174</v>
      </c>
      <c r="E416" s="94">
        <v>1</v>
      </c>
      <c r="F416" s="70"/>
      <c r="G416" s="70">
        <f t="shared" si="20"/>
        <v>0</v>
      </c>
      <c r="H416" s="68" t="s">
        <v>15</v>
      </c>
      <c r="I416" s="79">
        <v>10</v>
      </c>
    </row>
    <row r="417" s="43" customFormat="1" ht="45" spans="1:9">
      <c r="A417" s="57">
        <v>21</v>
      </c>
      <c r="B417" s="39" t="s">
        <v>466</v>
      </c>
      <c r="C417" s="39" t="s">
        <v>467</v>
      </c>
      <c r="D417" s="94" t="s">
        <v>174</v>
      </c>
      <c r="E417" s="94">
        <v>1</v>
      </c>
      <c r="F417" s="70"/>
      <c r="G417" s="70">
        <f t="shared" si="20"/>
        <v>0</v>
      </c>
      <c r="H417" s="68" t="s">
        <v>15</v>
      </c>
      <c r="I417" s="79">
        <v>80</v>
      </c>
    </row>
    <row r="418" s="43" customFormat="1" ht="45" spans="1:9">
      <c r="A418" s="57">
        <v>22</v>
      </c>
      <c r="B418" s="39" t="s">
        <v>468</v>
      </c>
      <c r="C418" s="39" t="s">
        <v>469</v>
      </c>
      <c r="D418" s="94" t="s">
        <v>174</v>
      </c>
      <c r="E418" s="94">
        <v>1</v>
      </c>
      <c r="F418" s="70"/>
      <c r="G418" s="70">
        <f t="shared" si="20"/>
        <v>0</v>
      </c>
      <c r="H418" s="68" t="s">
        <v>15</v>
      </c>
      <c r="I418" s="79">
        <v>80</v>
      </c>
    </row>
    <row r="419" s="44" customFormat="1" ht="21" customHeight="1" spans="1:9">
      <c r="A419" s="84" t="s">
        <v>470</v>
      </c>
      <c r="B419" s="98" t="s">
        <v>471</v>
      </c>
      <c r="C419" s="98"/>
      <c r="D419" s="99"/>
      <c r="E419" s="99"/>
      <c r="F419" s="70"/>
      <c r="G419" s="82">
        <f>G420</f>
        <v>0</v>
      </c>
      <c r="H419" s="64"/>
      <c r="I419" s="88"/>
    </row>
    <row r="420" s="45" customFormat="1" ht="33" customHeight="1" spans="1:9">
      <c r="A420" s="75">
        <v>1</v>
      </c>
      <c r="B420" s="65" t="s">
        <v>472</v>
      </c>
      <c r="C420" s="59"/>
      <c r="D420" s="32" t="s">
        <v>21</v>
      </c>
      <c r="E420" s="32">
        <v>21239.6</v>
      </c>
      <c r="F420" s="70"/>
      <c r="G420" s="70">
        <f t="shared" ref="G420:G423" si="21">F420*E420</f>
        <v>0</v>
      </c>
      <c r="H420" s="68" t="s">
        <v>15</v>
      </c>
      <c r="I420" s="112">
        <v>15</v>
      </c>
    </row>
    <row r="421" s="42" customFormat="1" ht="18" customHeight="1" spans="1:9">
      <c r="A421" s="84" t="s">
        <v>473</v>
      </c>
      <c r="B421" s="60" t="s">
        <v>474</v>
      </c>
      <c r="C421" s="59"/>
      <c r="D421" s="60"/>
      <c r="E421" s="100"/>
      <c r="F421" s="70"/>
      <c r="G421" s="82">
        <f>SUM(G422:G423)</f>
        <v>0</v>
      </c>
      <c r="H421" s="64"/>
      <c r="I421" s="89"/>
    </row>
    <row r="422" s="45" customFormat="1" ht="38" customHeight="1" spans="1:9">
      <c r="A422" s="57">
        <v>1</v>
      </c>
      <c r="B422" s="30" t="s">
        <v>475</v>
      </c>
      <c r="C422" s="71"/>
      <c r="D422" s="32" t="s">
        <v>21</v>
      </c>
      <c r="E422" s="32">
        <v>21239.6</v>
      </c>
      <c r="F422" s="70"/>
      <c r="G422" s="70">
        <f t="shared" si="21"/>
        <v>0</v>
      </c>
      <c r="H422" s="68" t="s">
        <v>15</v>
      </c>
      <c r="I422" s="113">
        <v>17</v>
      </c>
    </row>
    <row r="423" s="45" customFormat="1" ht="38" customHeight="1" spans="1:9">
      <c r="A423" s="57">
        <v>2</v>
      </c>
      <c r="B423" s="30" t="s">
        <v>476</v>
      </c>
      <c r="C423" s="71"/>
      <c r="D423" s="32" t="s">
        <v>21</v>
      </c>
      <c r="E423" s="32">
        <v>667.4</v>
      </c>
      <c r="F423" s="70"/>
      <c r="G423" s="70">
        <f t="shared" si="21"/>
        <v>0</v>
      </c>
      <c r="H423" s="68" t="s">
        <v>15</v>
      </c>
      <c r="I423" s="113">
        <v>3.5</v>
      </c>
    </row>
    <row r="424" s="42" customFormat="1" ht="20" customHeight="1" spans="1:9">
      <c r="A424" s="84" t="s">
        <v>477</v>
      </c>
      <c r="B424" s="101" t="s">
        <v>478</v>
      </c>
      <c r="C424" s="102"/>
      <c r="D424" s="101"/>
      <c r="E424" s="103"/>
      <c r="F424" s="104"/>
      <c r="G424" s="63">
        <v>0</v>
      </c>
      <c r="H424" s="64"/>
      <c r="I424" s="77"/>
    </row>
    <row r="425" s="43" customFormat="1" ht="40" customHeight="1" spans="1:9">
      <c r="A425" s="101">
        <v>1</v>
      </c>
      <c r="B425" s="105" t="s">
        <v>479</v>
      </c>
      <c r="C425" s="105" t="s">
        <v>480</v>
      </c>
      <c r="D425" s="75" t="s">
        <v>481</v>
      </c>
      <c r="E425" s="106">
        <f>G3+G118+G225+G230+G276+G319+G343+G365+G396+G419+G421</f>
        <v>0</v>
      </c>
      <c r="F425" s="107">
        <v>0.0359</v>
      </c>
      <c r="G425" s="67">
        <v>256692.72</v>
      </c>
      <c r="H425" s="68" t="s">
        <v>482</v>
      </c>
      <c r="I425" s="78"/>
    </row>
    <row r="426" s="43" customFormat="1" ht="40" customHeight="1" spans="1:9">
      <c r="A426" s="84">
        <v>2</v>
      </c>
      <c r="B426" s="105" t="s">
        <v>483</v>
      </c>
      <c r="C426" s="105" t="s">
        <v>484</v>
      </c>
      <c r="D426" s="75" t="s">
        <v>481</v>
      </c>
      <c r="E426" s="106">
        <f>G3+G118+G225+G230+G276+G319+G343+G365+G396+G419+G421+G425</f>
        <v>256692.72</v>
      </c>
      <c r="F426" s="107"/>
      <c r="G426" s="67">
        <f t="shared" ref="G425:G427" si="22">E426*F426</f>
        <v>0</v>
      </c>
      <c r="H426" s="68" t="s">
        <v>485</v>
      </c>
      <c r="I426" s="78"/>
    </row>
    <row r="427" s="43" customFormat="1" ht="40" customHeight="1" spans="1:9">
      <c r="A427" s="84">
        <v>3</v>
      </c>
      <c r="B427" s="105" t="s">
        <v>486</v>
      </c>
      <c r="C427" s="105"/>
      <c r="D427" s="75" t="s">
        <v>481</v>
      </c>
      <c r="E427" s="106">
        <f>G3+G118+G225+G230+G276+G319+G343+G365+G396+G419+G421+G425</f>
        <v>256692.72</v>
      </c>
      <c r="F427" s="107"/>
      <c r="G427" s="67">
        <f t="shared" si="22"/>
        <v>0</v>
      </c>
      <c r="H427" s="68" t="s">
        <v>485</v>
      </c>
      <c r="I427" s="78"/>
    </row>
    <row r="428" s="46" customFormat="1" ht="19" customHeight="1" spans="1:9">
      <c r="A428" s="84" t="s">
        <v>487</v>
      </c>
      <c r="B428" s="101" t="s">
        <v>488</v>
      </c>
      <c r="C428" s="102" t="s">
        <v>489</v>
      </c>
      <c r="D428" s="101" t="s">
        <v>481</v>
      </c>
      <c r="E428" s="103"/>
      <c r="F428" s="63"/>
      <c r="G428" s="63">
        <f>G3+G118+G225+G230+G276+G319+G343+G365+G396+G419+G421+G424</f>
        <v>0</v>
      </c>
      <c r="H428" s="64"/>
      <c r="I428" s="114"/>
    </row>
    <row r="429" s="42" customFormat="1" ht="19" customHeight="1" spans="1:9">
      <c r="A429" s="84" t="s">
        <v>490</v>
      </c>
      <c r="B429" s="101" t="s">
        <v>491</v>
      </c>
      <c r="C429" s="102" t="s">
        <v>492</v>
      </c>
      <c r="D429" s="101" t="s">
        <v>481</v>
      </c>
      <c r="E429" s="103">
        <f>G428</f>
        <v>0</v>
      </c>
      <c r="F429" s="107"/>
      <c r="G429" s="63">
        <f>E429*F429</f>
        <v>0</v>
      </c>
      <c r="H429" s="64" t="s">
        <v>493</v>
      </c>
      <c r="I429" s="77"/>
    </row>
    <row r="430" s="42" customFormat="1" ht="19" customHeight="1" spans="1:9">
      <c r="A430" s="84" t="s">
        <v>494</v>
      </c>
      <c r="B430" s="101" t="s">
        <v>495</v>
      </c>
      <c r="C430" s="102"/>
      <c r="D430" s="101"/>
      <c r="E430" s="101"/>
      <c r="F430" s="104"/>
      <c r="G430" s="63">
        <f>G428+G429</f>
        <v>0</v>
      </c>
      <c r="H430" s="108"/>
      <c r="I430" s="77"/>
    </row>
    <row r="431" s="43" customFormat="1" ht="90" customHeight="1" spans="1:9">
      <c r="A431" s="102" t="s">
        <v>496</v>
      </c>
      <c r="B431" s="109"/>
      <c r="C431" s="109"/>
      <c r="D431" s="109"/>
      <c r="E431" s="110"/>
      <c r="F431" s="111"/>
      <c r="G431" s="111"/>
      <c r="H431" s="109"/>
      <c r="I431" s="78"/>
    </row>
  </sheetData>
  <mergeCells count="3">
    <mergeCell ref="A1:H1"/>
    <mergeCell ref="B430:F430"/>
    <mergeCell ref="A431:H431"/>
  </mergeCells>
  <pageMargins left="0.700694444444445" right="0.700694444444445" top="0.751388888888889" bottom="0.751388888888889" header="0.297916666666667" footer="0.297916666666667"/>
  <pageSetup paperSize="9"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4" sqref="C4"/>
    </sheetView>
  </sheetViews>
  <sheetFormatPr defaultColWidth="9" defaultRowHeight="13.5" outlineLevelCol="2"/>
  <cols>
    <col min="1" max="1" width="22.625" customWidth="1"/>
    <col min="2" max="2" width="8.625" customWidth="1"/>
    <col min="3" max="3" width="45.625" customWidth="1"/>
  </cols>
  <sheetData>
    <row r="1" ht="82" customHeight="1" spans="1:3">
      <c r="A1" s="115" t="s">
        <v>497</v>
      </c>
      <c r="B1" s="116"/>
      <c r="C1" s="116"/>
    </row>
    <row r="2" ht="61" customHeight="1" spans="1:3">
      <c r="A2" s="117" t="s">
        <v>498</v>
      </c>
      <c r="B2" s="117"/>
      <c r="C2" s="117"/>
    </row>
    <row r="3" ht="72" customHeight="1" spans="1:3">
      <c r="A3" s="118" t="s">
        <v>499</v>
      </c>
      <c r="B3" s="119" t="s">
        <v>500</v>
      </c>
      <c r="C3" s="120">
        <f>限价!G428</f>
        <v>8888289.24043056</v>
      </c>
    </row>
    <row r="4" ht="41" customHeight="1" spans="1:3">
      <c r="A4" s="121" t="s">
        <v>501</v>
      </c>
      <c r="B4" s="122" t="s">
        <v>502</v>
      </c>
      <c r="C4" s="123">
        <f>C3</f>
        <v>8888289.24043056</v>
      </c>
    </row>
    <row r="5" ht="37" customHeight="1" spans="1:3">
      <c r="A5" s="118" t="s">
        <v>503</v>
      </c>
      <c r="B5" s="124" t="s">
        <v>500</v>
      </c>
      <c r="C5" s="120">
        <f>限价!G425</f>
        <v>256692.717871301</v>
      </c>
    </row>
    <row r="6" ht="43" customHeight="1" spans="1:3">
      <c r="A6" s="124"/>
      <c r="B6" s="124" t="s">
        <v>504</v>
      </c>
      <c r="C6" s="123">
        <f>C5</f>
        <v>256692.717871301</v>
      </c>
    </row>
    <row r="7" ht="14.25" spans="1:3">
      <c r="A7" s="125"/>
      <c r="B7" s="126"/>
      <c r="C7" s="126"/>
    </row>
    <row r="8" ht="14.25" spans="1:3">
      <c r="A8" s="126"/>
      <c r="B8" s="126"/>
      <c r="C8" s="126"/>
    </row>
    <row r="9" ht="14.25" spans="1:3">
      <c r="A9" s="126" t="s">
        <v>501</v>
      </c>
      <c r="B9" s="127" t="s">
        <v>501</v>
      </c>
      <c r="C9" s="127"/>
    </row>
    <row r="10" ht="84" customHeight="1" spans="1:3">
      <c r="A10" s="126" t="s">
        <v>505</v>
      </c>
      <c r="B10" s="128" t="s">
        <v>501</v>
      </c>
      <c r="C10" s="128"/>
    </row>
    <row r="11" ht="48" customHeight="1" spans="1:3">
      <c r="A11" s="126" t="s">
        <v>506</v>
      </c>
      <c r="B11" s="128"/>
      <c r="C11" s="128"/>
    </row>
    <row r="12" ht="42" customHeight="1" spans="1:3">
      <c r="A12" s="126" t="s">
        <v>507</v>
      </c>
      <c r="B12" s="128"/>
      <c r="C12" s="128"/>
    </row>
    <row r="13" ht="14.25" spans="1:3">
      <c r="A13" s="126" t="s">
        <v>501</v>
      </c>
      <c r="B13" s="129"/>
      <c r="C13" s="129"/>
    </row>
    <row r="14" ht="108" customHeight="1" spans="1:3">
      <c r="A14" s="121" t="s">
        <v>501</v>
      </c>
      <c r="B14" s="126" t="s">
        <v>508</v>
      </c>
      <c r="C14" s="126"/>
    </row>
  </sheetData>
  <mergeCells count="10">
    <mergeCell ref="A1:C1"/>
    <mergeCell ref="A2:C2"/>
    <mergeCell ref="B7:C7"/>
    <mergeCell ref="B8:C8"/>
    <mergeCell ref="B9:C9"/>
    <mergeCell ref="B10:C10"/>
    <mergeCell ref="B11:C11"/>
    <mergeCell ref="B12:C12"/>
    <mergeCell ref="B13:C13"/>
    <mergeCell ref="B14:C14"/>
  </mergeCells>
  <printOptions horizontalCentered="1"/>
  <pageMargins left="0" right="0"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1"/>
  <sheetViews>
    <sheetView topLeftCell="A420" workbookViewId="0">
      <selection activeCell="G428" sqref="G428"/>
    </sheetView>
  </sheetViews>
  <sheetFormatPr defaultColWidth="9" defaultRowHeight="13.5"/>
  <cols>
    <col min="1" max="1" width="5.625" style="47" customWidth="1"/>
    <col min="2" max="2" width="13.0833333333333" style="40" customWidth="1"/>
    <col min="3" max="3" width="35" style="40" customWidth="1"/>
    <col min="4" max="4" width="5.16666666666667" style="47" customWidth="1"/>
    <col min="5" max="5" width="13.5" style="48" customWidth="1"/>
    <col min="6" max="6" width="8.5" style="47" customWidth="1"/>
    <col min="7" max="7" width="14.5" style="40" customWidth="1"/>
    <col min="8" max="8" width="28.5" style="40" customWidth="1"/>
    <col min="9" max="9" width="9" style="49" customWidth="1"/>
    <col min="10" max="10" width="29.125" style="40" customWidth="1"/>
    <col min="11" max="16382" width="9" style="40"/>
    <col min="16383" max="16384" width="9" style="50"/>
  </cols>
  <sheetData>
    <row r="1" s="40" customFormat="1" ht="80" customHeight="1" spans="1:9">
      <c r="A1" s="51" t="s">
        <v>509</v>
      </c>
      <c r="B1" s="52"/>
      <c r="C1" s="52"/>
      <c r="D1" s="52"/>
      <c r="E1" s="53"/>
      <c r="F1" s="52"/>
      <c r="G1" s="52"/>
      <c r="H1" s="52"/>
      <c r="I1" s="49"/>
    </row>
    <row r="2" s="41" customFormat="1" ht="43" customHeight="1" spans="1:9">
      <c r="A2" s="54" t="s">
        <v>1</v>
      </c>
      <c r="B2" s="54" t="s">
        <v>2</v>
      </c>
      <c r="C2" s="54" t="s">
        <v>3</v>
      </c>
      <c r="D2" s="54" t="s">
        <v>4</v>
      </c>
      <c r="E2" s="55" t="s">
        <v>5</v>
      </c>
      <c r="F2" s="56" t="s">
        <v>6</v>
      </c>
      <c r="G2" s="54" t="s">
        <v>7</v>
      </c>
      <c r="H2" s="56" t="s">
        <v>8</v>
      </c>
      <c r="I2" s="76"/>
    </row>
    <row r="3" s="42" customFormat="1" ht="18" customHeight="1" spans="1:9">
      <c r="A3" s="57" t="s">
        <v>9</v>
      </c>
      <c r="B3" s="58" t="s">
        <v>10</v>
      </c>
      <c r="C3" s="59"/>
      <c r="D3" s="60"/>
      <c r="E3" s="61"/>
      <c r="F3" s="62"/>
      <c r="G3" s="63">
        <f>SUM(G4:G117)</f>
        <v>3576171.7908</v>
      </c>
      <c r="H3" s="64"/>
      <c r="I3" s="77"/>
    </row>
    <row r="4" s="43" customFormat="1" ht="18" customHeight="1" spans="1:9">
      <c r="A4" s="57"/>
      <c r="B4" s="65" t="s">
        <v>11</v>
      </c>
      <c r="C4" s="30"/>
      <c r="D4" s="32"/>
      <c r="E4" s="32"/>
      <c r="F4" s="66"/>
      <c r="G4" s="67"/>
      <c r="H4" s="68"/>
      <c r="I4" s="78"/>
    </row>
    <row r="5" s="42" customFormat="1" ht="112.5" spans="1:9">
      <c r="A5" s="57">
        <v>1</v>
      </c>
      <c r="B5" s="30" t="s">
        <v>12</v>
      </c>
      <c r="C5" s="30" t="s">
        <v>13</v>
      </c>
      <c r="D5" s="32" t="s">
        <v>14</v>
      </c>
      <c r="E5" s="69">
        <v>4.18</v>
      </c>
      <c r="F5" s="70">
        <f>I5*1.05</f>
        <v>516.5475</v>
      </c>
      <c r="G5" s="70">
        <f t="shared" ref="G5:G20" si="0">F5*E5</f>
        <v>2159.16855</v>
      </c>
      <c r="H5" s="68" t="s">
        <v>15</v>
      </c>
      <c r="I5" s="79">
        <f>311.95+180</f>
        <v>491.95</v>
      </c>
    </row>
    <row r="6" s="43" customFormat="1" ht="78.75" spans="1:9">
      <c r="A6" s="57">
        <v>2</v>
      </c>
      <c r="B6" s="30" t="s">
        <v>16</v>
      </c>
      <c r="C6" s="30" t="s">
        <v>17</v>
      </c>
      <c r="D6" s="32" t="s">
        <v>14</v>
      </c>
      <c r="E6" s="69">
        <v>15.85</v>
      </c>
      <c r="F6" s="70">
        <f t="shared" ref="F6:F69" si="1">I6*1.05</f>
        <v>52.5</v>
      </c>
      <c r="G6" s="70">
        <f t="shared" si="0"/>
        <v>832.125</v>
      </c>
      <c r="H6" s="68" t="s">
        <v>15</v>
      </c>
      <c r="I6" s="79">
        <f>50</f>
        <v>50</v>
      </c>
    </row>
    <row r="7" s="43" customFormat="1" ht="16" customHeight="1" spans="1:9">
      <c r="A7" s="57"/>
      <c r="B7" s="65" t="s">
        <v>18</v>
      </c>
      <c r="C7" s="71"/>
      <c r="D7" s="72"/>
      <c r="E7" s="73"/>
      <c r="F7" s="70"/>
      <c r="G7" s="70"/>
      <c r="H7" s="68"/>
      <c r="I7" s="80"/>
    </row>
    <row r="8" s="43" customFormat="1" ht="67.5" spans="1:9">
      <c r="A8" s="57">
        <v>1</v>
      </c>
      <c r="B8" s="30" t="s">
        <v>19</v>
      </c>
      <c r="C8" s="30" t="s">
        <v>20</v>
      </c>
      <c r="D8" s="32" t="s">
        <v>21</v>
      </c>
      <c r="E8" s="69">
        <v>227.64</v>
      </c>
      <c r="F8" s="70">
        <f t="shared" si="1"/>
        <v>63</v>
      </c>
      <c r="G8" s="70">
        <f t="shared" si="0"/>
        <v>14341.32</v>
      </c>
      <c r="H8" s="68" t="s">
        <v>15</v>
      </c>
      <c r="I8" s="79">
        <v>60</v>
      </c>
    </row>
    <row r="9" s="43" customFormat="1" ht="67.5" spans="1:9">
      <c r="A9" s="57">
        <v>2</v>
      </c>
      <c r="B9" s="30" t="s">
        <v>22</v>
      </c>
      <c r="C9" s="30" t="s">
        <v>20</v>
      </c>
      <c r="D9" s="32" t="s">
        <v>21</v>
      </c>
      <c r="E9" s="69">
        <v>333.96</v>
      </c>
      <c r="F9" s="70">
        <f t="shared" si="1"/>
        <v>63</v>
      </c>
      <c r="G9" s="70">
        <f t="shared" si="0"/>
        <v>21039.48</v>
      </c>
      <c r="H9" s="68" t="s">
        <v>15</v>
      </c>
      <c r="I9" s="79">
        <v>60</v>
      </c>
    </row>
    <row r="10" s="43" customFormat="1" ht="56.25" spans="1:9">
      <c r="A10" s="57">
        <v>3</v>
      </c>
      <c r="B10" s="30" t="s">
        <v>23</v>
      </c>
      <c r="C10" s="30" t="s">
        <v>24</v>
      </c>
      <c r="D10" s="32" t="s">
        <v>21</v>
      </c>
      <c r="E10" s="69">
        <v>47.96</v>
      </c>
      <c r="F10" s="70">
        <f t="shared" si="1"/>
        <v>71.4</v>
      </c>
      <c r="G10" s="70">
        <f t="shared" si="0"/>
        <v>3424.344</v>
      </c>
      <c r="H10" s="68" t="s">
        <v>15</v>
      </c>
      <c r="I10" s="79">
        <v>68</v>
      </c>
    </row>
    <row r="11" s="43" customFormat="1" ht="123.75" spans="1:9">
      <c r="A11" s="57">
        <v>4</v>
      </c>
      <c r="B11" s="30" t="s">
        <v>25</v>
      </c>
      <c r="C11" s="30" t="s">
        <v>26</v>
      </c>
      <c r="D11" s="32" t="s">
        <v>21</v>
      </c>
      <c r="E11" s="69">
        <v>107.52</v>
      </c>
      <c r="F11" s="70">
        <f t="shared" si="1"/>
        <v>304.5</v>
      </c>
      <c r="G11" s="70">
        <f t="shared" si="0"/>
        <v>32739.84</v>
      </c>
      <c r="H11" s="68" t="s">
        <v>15</v>
      </c>
      <c r="I11" s="79">
        <f>130+5+20+20*2+35*2+25</f>
        <v>290</v>
      </c>
    </row>
    <row r="12" s="42" customFormat="1" ht="112.5" spans="1:9">
      <c r="A12" s="57">
        <v>5</v>
      </c>
      <c r="B12" s="30" t="s">
        <v>27</v>
      </c>
      <c r="C12" s="30" t="s">
        <v>28</v>
      </c>
      <c r="D12" s="32" t="s">
        <v>21</v>
      </c>
      <c r="E12" s="69">
        <v>63.36</v>
      </c>
      <c r="F12" s="70">
        <f t="shared" si="1"/>
        <v>278.25</v>
      </c>
      <c r="G12" s="70">
        <f t="shared" si="0"/>
        <v>17629.92</v>
      </c>
      <c r="H12" s="68" t="s">
        <v>15</v>
      </c>
      <c r="I12" s="79">
        <v>265</v>
      </c>
    </row>
    <row r="13" s="43" customFormat="1" ht="112.5" spans="1:9">
      <c r="A13" s="57">
        <v>6</v>
      </c>
      <c r="B13" s="30" t="s">
        <v>29</v>
      </c>
      <c r="C13" s="30" t="s">
        <v>30</v>
      </c>
      <c r="D13" s="32" t="s">
        <v>21</v>
      </c>
      <c r="E13" s="69">
        <v>25.92</v>
      </c>
      <c r="F13" s="70">
        <f t="shared" si="1"/>
        <v>294</v>
      </c>
      <c r="G13" s="70">
        <f t="shared" si="0"/>
        <v>7620.48</v>
      </c>
      <c r="H13" s="68" t="s">
        <v>15</v>
      </c>
      <c r="I13" s="79">
        <v>280</v>
      </c>
    </row>
    <row r="14" s="43" customFormat="1" ht="112.5" spans="1:9">
      <c r="A14" s="57">
        <v>7</v>
      </c>
      <c r="B14" s="30" t="s">
        <v>31</v>
      </c>
      <c r="C14" s="30" t="s">
        <v>32</v>
      </c>
      <c r="D14" s="32" t="s">
        <v>21</v>
      </c>
      <c r="E14" s="69">
        <v>1</v>
      </c>
      <c r="F14" s="70">
        <f t="shared" si="1"/>
        <v>294</v>
      </c>
      <c r="G14" s="70">
        <f t="shared" si="0"/>
        <v>294</v>
      </c>
      <c r="H14" s="68" t="s">
        <v>15</v>
      </c>
      <c r="I14" s="79">
        <v>280</v>
      </c>
    </row>
    <row r="15" s="43" customFormat="1" ht="90" spans="1:9">
      <c r="A15" s="57">
        <v>8</v>
      </c>
      <c r="B15" s="30" t="s">
        <v>33</v>
      </c>
      <c r="C15" s="30" t="s">
        <v>34</v>
      </c>
      <c r="D15" s="32" t="s">
        <v>21</v>
      </c>
      <c r="E15" s="69">
        <v>156.1</v>
      </c>
      <c r="F15" s="70">
        <f t="shared" si="1"/>
        <v>136.5</v>
      </c>
      <c r="G15" s="70">
        <f t="shared" si="0"/>
        <v>21307.65</v>
      </c>
      <c r="H15" s="68" t="s">
        <v>15</v>
      </c>
      <c r="I15" s="79">
        <v>130</v>
      </c>
    </row>
    <row r="16" s="43" customFormat="1" ht="101.25" spans="1:9">
      <c r="A16" s="57">
        <v>9</v>
      </c>
      <c r="B16" s="30" t="s">
        <v>35</v>
      </c>
      <c r="C16" s="30" t="s">
        <v>36</v>
      </c>
      <c r="D16" s="32" t="s">
        <v>21</v>
      </c>
      <c r="E16" s="69">
        <v>8.74</v>
      </c>
      <c r="F16" s="70">
        <f t="shared" si="1"/>
        <v>136.5</v>
      </c>
      <c r="G16" s="70">
        <f t="shared" si="0"/>
        <v>1193.01</v>
      </c>
      <c r="H16" s="68" t="s">
        <v>15</v>
      </c>
      <c r="I16" s="79">
        <v>130</v>
      </c>
    </row>
    <row r="17" s="43" customFormat="1" ht="135" spans="1:9">
      <c r="A17" s="57">
        <v>10</v>
      </c>
      <c r="B17" s="30" t="s">
        <v>37</v>
      </c>
      <c r="C17" s="30" t="s">
        <v>38</v>
      </c>
      <c r="D17" s="32" t="s">
        <v>39</v>
      </c>
      <c r="E17" s="69">
        <v>30</v>
      </c>
      <c r="F17" s="70">
        <f t="shared" si="1"/>
        <v>294</v>
      </c>
      <c r="G17" s="70">
        <f t="shared" si="0"/>
        <v>8820</v>
      </c>
      <c r="H17" s="68" t="s">
        <v>15</v>
      </c>
      <c r="I17" s="79">
        <v>280</v>
      </c>
    </row>
    <row r="18" s="43" customFormat="1" ht="101.25" spans="1:9">
      <c r="A18" s="57">
        <v>11</v>
      </c>
      <c r="B18" s="30" t="s">
        <v>40</v>
      </c>
      <c r="C18" s="30" t="s">
        <v>41</v>
      </c>
      <c r="D18" s="32" t="s">
        <v>42</v>
      </c>
      <c r="E18" s="69">
        <v>876.17</v>
      </c>
      <c r="F18" s="70">
        <f t="shared" si="1"/>
        <v>47.25</v>
      </c>
      <c r="G18" s="70">
        <f t="shared" si="0"/>
        <v>41399.0325</v>
      </c>
      <c r="H18" s="68" t="s">
        <v>15</v>
      </c>
      <c r="I18" s="79">
        <v>45</v>
      </c>
    </row>
    <row r="19" s="42" customFormat="1" ht="112.5" spans="1:9">
      <c r="A19" s="57">
        <v>12</v>
      </c>
      <c r="B19" s="30" t="s">
        <v>43</v>
      </c>
      <c r="C19" s="30" t="s">
        <v>44</v>
      </c>
      <c r="D19" s="32" t="s">
        <v>42</v>
      </c>
      <c r="E19" s="69">
        <v>39.34</v>
      </c>
      <c r="F19" s="70">
        <f t="shared" si="1"/>
        <v>47.25</v>
      </c>
      <c r="G19" s="70">
        <f t="shared" si="0"/>
        <v>1858.815</v>
      </c>
      <c r="H19" s="68" t="s">
        <v>15</v>
      </c>
      <c r="I19" s="79">
        <v>45</v>
      </c>
    </row>
    <row r="20" s="43" customFormat="1" ht="67.5" spans="1:9">
      <c r="A20" s="57">
        <v>13</v>
      </c>
      <c r="B20" s="30" t="s">
        <v>45</v>
      </c>
      <c r="C20" s="30" t="s">
        <v>46</v>
      </c>
      <c r="D20" s="32" t="s">
        <v>21</v>
      </c>
      <c r="E20" s="74">
        <v>1</v>
      </c>
      <c r="F20" s="70">
        <f t="shared" si="1"/>
        <v>84</v>
      </c>
      <c r="G20" s="70">
        <f t="shared" si="0"/>
        <v>84</v>
      </c>
      <c r="H20" s="68" t="s">
        <v>15</v>
      </c>
      <c r="I20" s="79">
        <v>80</v>
      </c>
    </row>
    <row r="21" s="43" customFormat="1" ht="18" customHeight="1" spans="1:9">
      <c r="A21" s="57"/>
      <c r="B21" s="65" t="s">
        <v>47</v>
      </c>
      <c r="C21" s="59"/>
      <c r="D21" s="72"/>
      <c r="E21" s="73"/>
      <c r="F21" s="70"/>
      <c r="G21" s="70"/>
      <c r="H21" s="68"/>
      <c r="I21" s="80"/>
    </row>
    <row r="22" s="43" customFormat="1" ht="101.25" spans="1:9">
      <c r="A22" s="57">
        <v>1</v>
      </c>
      <c r="B22" s="30" t="s">
        <v>48</v>
      </c>
      <c r="C22" s="30" t="s">
        <v>49</v>
      </c>
      <c r="D22" s="32" t="s">
        <v>21</v>
      </c>
      <c r="E22" s="69">
        <v>439.38</v>
      </c>
      <c r="F22" s="70">
        <f t="shared" si="1"/>
        <v>19.425</v>
      </c>
      <c r="G22" s="70">
        <f t="shared" ref="G22:G25" si="2">F22*E22</f>
        <v>8534.9565</v>
      </c>
      <c r="H22" s="68" t="s">
        <v>15</v>
      </c>
      <c r="I22" s="79">
        <v>18.5</v>
      </c>
    </row>
    <row r="23" s="43" customFormat="1" ht="101.25" spans="1:9">
      <c r="A23" s="57">
        <v>2</v>
      </c>
      <c r="B23" s="30" t="s">
        <v>50</v>
      </c>
      <c r="C23" s="30" t="s">
        <v>51</v>
      </c>
      <c r="D23" s="32" t="s">
        <v>21</v>
      </c>
      <c r="E23" s="69">
        <v>703.54</v>
      </c>
      <c r="F23" s="70">
        <f t="shared" si="1"/>
        <v>19.425</v>
      </c>
      <c r="G23" s="70">
        <f t="shared" si="2"/>
        <v>13666.2645</v>
      </c>
      <c r="H23" s="68" t="s">
        <v>15</v>
      </c>
      <c r="I23" s="79">
        <v>18.5</v>
      </c>
    </row>
    <row r="24" s="43" customFormat="1" ht="123.75" spans="1:9">
      <c r="A24" s="57">
        <v>3</v>
      </c>
      <c r="B24" s="30" t="s">
        <v>52</v>
      </c>
      <c r="C24" s="30" t="s">
        <v>53</v>
      </c>
      <c r="D24" s="32" t="s">
        <v>42</v>
      </c>
      <c r="E24" s="69">
        <v>42.34</v>
      </c>
      <c r="F24" s="70">
        <f t="shared" si="1"/>
        <v>36.75</v>
      </c>
      <c r="G24" s="70">
        <f t="shared" si="2"/>
        <v>1555.995</v>
      </c>
      <c r="H24" s="68" t="s">
        <v>15</v>
      </c>
      <c r="I24" s="79">
        <v>35</v>
      </c>
    </row>
    <row r="25" s="43" customFormat="1" ht="135" spans="1:9">
      <c r="A25" s="75">
        <v>4</v>
      </c>
      <c r="B25" s="30" t="s">
        <v>54</v>
      </c>
      <c r="C25" s="30" t="s">
        <v>55</v>
      </c>
      <c r="D25" s="32" t="s">
        <v>42</v>
      </c>
      <c r="E25" s="69">
        <v>23.54</v>
      </c>
      <c r="F25" s="70">
        <f t="shared" si="1"/>
        <v>63</v>
      </c>
      <c r="G25" s="70">
        <f t="shared" si="2"/>
        <v>1483.02</v>
      </c>
      <c r="H25" s="68" t="s">
        <v>15</v>
      </c>
      <c r="I25" s="79">
        <v>60</v>
      </c>
    </row>
    <row r="26" s="42" customFormat="1" ht="20" customHeight="1" spans="1:9">
      <c r="A26" s="57"/>
      <c r="B26" s="65" t="s">
        <v>56</v>
      </c>
      <c r="C26" s="59"/>
      <c r="D26" s="72"/>
      <c r="E26" s="73"/>
      <c r="F26" s="70"/>
      <c r="G26" s="70"/>
      <c r="H26" s="68"/>
      <c r="I26" s="80"/>
    </row>
    <row r="27" s="43" customFormat="1" ht="90" spans="1:9">
      <c r="A27" s="57">
        <v>1</v>
      </c>
      <c r="B27" s="30" t="s">
        <v>57</v>
      </c>
      <c r="C27" s="30" t="s">
        <v>58</v>
      </c>
      <c r="D27" s="32" t="s">
        <v>21</v>
      </c>
      <c r="E27" s="69">
        <v>283.67</v>
      </c>
      <c r="F27" s="70">
        <f t="shared" si="1"/>
        <v>15.75</v>
      </c>
      <c r="G27" s="70">
        <f t="shared" ref="G27:G50" si="3">F27*E27</f>
        <v>4467.8025</v>
      </c>
      <c r="H27" s="68" t="s">
        <v>15</v>
      </c>
      <c r="I27" s="79">
        <v>15</v>
      </c>
    </row>
    <row r="28" s="43" customFormat="1" ht="90" spans="1:9">
      <c r="A28" s="57">
        <v>2</v>
      </c>
      <c r="B28" s="30" t="s">
        <v>59</v>
      </c>
      <c r="C28" s="30" t="s">
        <v>60</v>
      </c>
      <c r="D28" s="32" t="s">
        <v>21</v>
      </c>
      <c r="E28" s="69">
        <v>4820.23</v>
      </c>
      <c r="F28" s="70">
        <f t="shared" si="1"/>
        <v>23.625</v>
      </c>
      <c r="G28" s="70">
        <f t="shared" si="3"/>
        <v>113877.93375</v>
      </c>
      <c r="H28" s="68" t="s">
        <v>15</v>
      </c>
      <c r="I28" s="79">
        <v>22.5</v>
      </c>
    </row>
    <row r="29" s="43" customFormat="1" ht="90" spans="1:9">
      <c r="A29" s="57">
        <v>3</v>
      </c>
      <c r="B29" s="30" t="s">
        <v>61</v>
      </c>
      <c r="C29" s="30" t="s">
        <v>62</v>
      </c>
      <c r="D29" s="32" t="s">
        <v>21</v>
      </c>
      <c r="E29" s="69">
        <v>41.82</v>
      </c>
      <c r="F29" s="70">
        <f t="shared" si="1"/>
        <v>15.75</v>
      </c>
      <c r="G29" s="70">
        <f t="shared" si="3"/>
        <v>658.665</v>
      </c>
      <c r="H29" s="68" t="s">
        <v>15</v>
      </c>
      <c r="I29" s="79">
        <v>15</v>
      </c>
    </row>
    <row r="30" s="42" customFormat="1" ht="67.5" spans="1:9">
      <c r="A30" s="57">
        <v>4</v>
      </c>
      <c r="B30" s="30" t="s">
        <v>63</v>
      </c>
      <c r="C30" s="30" t="s">
        <v>64</v>
      </c>
      <c r="D30" s="32" t="s">
        <v>21</v>
      </c>
      <c r="E30" s="69">
        <v>3469.18</v>
      </c>
      <c r="F30" s="70">
        <f t="shared" si="1"/>
        <v>31.5</v>
      </c>
      <c r="G30" s="70">
        <f t="shared" si="3"/>
        <v>109279.17</v>
      </c>
      <c r="H30" s="68" t="s">
        <v>15</v>
      </c>
      <c r="I30" s="79">
        <v>30</v>
      </c>
    </row>
    <row r="31" s="43" customFormat="1" ht="135" spans="1:9">
      <c r="A31" s="57">
        <v>5</v>
      </c>
      <c r="B31" s="30" t="s">
        <v>65</v>
      </c>
      <c r="C31" s="30" t="s">
        <v>66</v>
      </c>
      <c r="D31" s="32" t="s">
        <v>21</v>
      </c>
      <c r="E31" s="69">
        <v>3554.01</v>
      </c>
      <c r="F31" s="70">
        <f t="shared" si="1"/>
        <v>47.25</v>
      </c>
      <c r="G31" s="70">
        <f t="shared" si="3"/>
        <v>167926.9725</v>
      </c>
      <c r="H31" s="68" t="s">
        <v>15</v>
      </c>
      <c r="I31" s="79">
        <v>45</v>
      </c>
    </row>
    <row r="32" s="43" customFormat="1" ht="168.75" spans="1:9">
      <c r="A32" s="57">
        <v>6</v>
      </c>
      <c r="B32" s="30" t="s">
        <v>67</v>
      </c>
      <c r="C32" s="30" t="s">
        <v>68</v>
      </c>
      <c r="D32" s="32" t="s">
        <v>21</v>
      </c>
      <c r="E32" s="69">
        <v>283.67</v>
      </c>
      <c r="F32" s="70">
        <f t="shared" si="1"/>
        <v>47.25</v>
      </c>
      <c r="G32" s="70">
        <f t="shared" si="3"/>
        <v>13403.4075</v>
      </c>
      <c r="H32" s="68" t="s">
        <v>15</v>
      </c>
      <c r="I32" s="79">
        <v>45</v>
      </c>
    </row>
    <row r="33" s="43" customFormat="1" ht="67.5" spans="1:9">
      <c r="A33" s="57">
        <v>7</v>
      </c>
      <c r="B33" s="30" t="s">
        <v>69</v>
      </c>
      <c r="C33" s="30" t="s">
        <v>70</v>
      </c>
      <c r="D33" s="32" t="s">
        <v>21</v>
      </c>
      <c r="E33" s="69">
        <v>129.7</v>
      </c>
      <c r="F33" s="70">
        <f t="shared" si="1"/>
        <v>31.5</v>
      </c>
      <c r="G33" s="70">
        <f t="shared" si="3"/>
        <v>4085.55</v>
      </c>
      <c r="H33" s="68" t="s">
        <v>15</v>
      </c>
      <c r="I33" s="79">
        <v>30</v>
      </c>
    </row>
    <row r="34" s="43" customFormat="1" ht="168.75" spans="1:9">
      <c r="A34" s="57">
        <v>8</v>
      </c>
      <c r="B34" s="30" t="s">
        <v>71</v>
      </c>
      <c r="C34" s="30" t="s">
        <v>72</v>
      </c>
      <c r="D34" s="32" t="s">
        <v>21</v>
      </c>
      <c r="E34" s="69">
        <v>1</v>
      </c>
      <c r="F34" s="70">
        <f t="shared" si="1"/>
        <v>47.25</v>
      </c>
      <c r="G34" s="70">
        <f t="shared" si="3"/>
        <v>47.25</v>
      </c>
      <c r="H34" s="68" t="s">
        <v>15</v>
      </c>
      <c r="I34" s="79">
        <v>45</v>
      </c>
    </row>
    <row r="35" s="43" customFormat="1" ht="168.75" spans="1:9">
      <c r="A35" s="57">
        <v>9</v>
      </c>
      <c r="B35" s="30" t="s">
        <v>73</v>
      </c>
      <c r="C35" s="30" t="s">
        <v>72</v>
      </c>
      <c r="D35" s="32" t="s">
        <v>21</v>
      </c>
      <c r="E35" s="69">
        <v>1008.66</v>
      </c>
      <c r="F35" s="70">
        <f t="shared" si="1"/>
        <v>47.25</v>
      </c>
      <c r="G35" s="70">
        <f t="shared" si="3"/>
        <v>47659.185</v>
      </c>
      <c r="H35" s="68" t="s">
        <v>15</v>
      </c>
      <c r="I35" s="79">
        <v>45</v>
      </c>
    </row>
    <row r="36" s="43" customFormat="1" ht="168.75" spans="1:9">
      <c r="A36" s="57">
        <v>10</v>
      </c>
      <c r="B36" s="30" t="s">
        <v>74</v>
      </c>
      <c r="C36" s="30" t="s">
        <v>75</v>
      </c>
      <c r="D36" s="32" t="s">
        <v>21</v>
      </c>
      <c r="E36" s="69">
        <v>1</v>
      </c>
      <c r="F36" s="70">
        <f t="shared" si="1"/>
        <v>57.75</v>
      </c>
      <c r="G36" s="70">
        <f t="shared" si="3"/>
        <v>57.75</v>
      </c>
      <c r="H36" s="68" t="s">
        <v>15</v>
      </c>
      <c r="I36" s="79">
        <v>55</v>
      </c>
    </row>
    <row r="37" s="43" customFormat="1" ht="168.75" spans="1:9">
      <c r="A37" s="57">
        <v>11</v>
      </c>
      <c r="B37" s="30" t="s">
        <v>76</v>
      </c>
      <c r="C37" s="30" t="s">
        <v>77</v>
      </c>
      <c r="D37" s="32" t="s">
        <v>21</v>
      </c>
      <c r="E37" s="69">
        <v>359.97</v>
      </c>
      <c r="F37" s="70">
        <f t="shared" si="1"/>
        <v>31.5</v>
      </c>
      <c r="G37" s="70">
        <f t="shared" si="3"/>
        <v>11339.055</v>
      </c>
      <c r="H37" s="68" t="s">
        <v>15</v>
      </c>
      <c r="I37" s="79">
        <v>30</v>
      </c>
    </row>
    <row r="38" s="42" customFormat="1" ht="168.75" spans="1:9">
      <c r="A38" s="57">
        <v>12</v>
      </c>
      <c r="B38" s="30" t="s">
        <v>78</v>
      </c>
      <c r="C38" s="30" t="s">
        <v>77</v>
      </c>
      <c r="D38" s="32" t="s">
        <v>21</v>
      </c>
      <c r="E38" s="69">
        <v>2648.97</v>
      </c>
      <c r="F38" s="70">
        <f t="shared" si="1"/>
        <v>31.5</v>
      </c>
      <c r="G38" s="70">
        <f t="shared" si="3"/>
        <v>83442.555</v>
      </c>
      <c r="H38" s="68" t="s">
        <v>15</v>
      </c>
      <c r="I38" s="79">
        <v>30</v>
      </c>
    </row>
    <row r="39" s="43" customFormat="1" ht="101.25" spans="1:9">
      <c r="A39" s="57">
        <v>13</v>
      </c>
      <c r="B39" s="30" t="s">
        <v>79</v>
      </c>
      <c r="C39" s="30" t="s">
        <v>80</v>
      </c>
      <c r="D39" s="32" t="s">
        <v>21</v>
      </c>
      <c r="E39" s="69">
        <v>1</v>
      </c>
      <c r="F39" s="70">
        <f t="shared" si="1"/>
        <v>36.75</v>
      </c>
      <c r="G39" s="70">
        <f t="shared" si="3"/>
        <v>36.75</v>
      </c>
      <c r="H39" s="68" t="s">
        <v>15</v>
      </c>
      <c r="I39" s="79">
        <v>35</v>
      </c>
    </row>
    <row r="40" s="43" customFormat="1" ht="146.25" spans="1:9">
      <c r="A40" s="57">
        <v>14</v>
      </c>
      <c r="B40" s="30" t="s">
        <v>81</v>
      </c>
      <c r="C40" s="30" t="s">
        <v>82</v>
      </c>
      <c r="D40" s="32" t="s">
        <v>42</v>
      </c>
      <c r="E40" s="69">
        <v>518.04</v>
      </c>
      <c r="F40" s="70">
        <f t="shared" si="1"/>
        <v>8.4</v>
      </c>
      <c r="G40" s="70">
        <f t="shared" si="3"/>
        <v>4351.536</v>
      </c>
      <c r="H40" s="68" t="s">
        <v>15</v>
      </c>
      <c r="I40" s="79">
        <v>8</v>
      </c>
    </row>
    <row r="41" s="43" customFormat="1" ht="123.75" spans="1:9">
      <c r="A41" s="57">
        <v>15</v>
      </c>
      <c r="B41" s="30" t="s">
        <v>83</v>
      </c>
      <c r="C41" s="30" t="s">
        <v>84</v>
      </c>
      <c r="D41" s="32" t="s">
        <v>42</v>
      </c>
      <c r="E41" s="69">
        <v>4164.3</v>
      </c>
      <c r="F41" s="70">
        <f t="shared" si="1"/>
        <v>15.75</v>
      </c>
      <c r="G41" s="70">
        <f t="shared" si="3"/>
        <v>65587.725</v>
      </c>
      <c r="H41" s="68" t="s">
        <v>15</v>
      </c>
      <c r="I41" s="79">
        <v>15</v>
      </c>
    </row>
    <row r="42" s="43" customFormat="1" ht="180" spans="1:9">
      <c r="A42" s="57">
        <v>16</v>
      </c>
      <c r="B42" s="30" t="s">
        <v>85</v>
      </c>
      <c r="C42" s="30" t="s">
        <v>86</v>
      </c>
      <c r="D42" s="32" t="s">
        <v>21</v>
      </c>
      <c r="E42" s="69">
        <v>101.24</v>
      </c>
      <c r="F42" s="70">
        <f t="shared" si="1"/>
        <v>115.5</v>
      </c>
      <c r="G42" s="70">
        <f t="shared" si="3"/>
        <v>11693.22</v>
      </c>
      <c r="H42" s="68" t="s">
        <v>15</v>
      </c>
      <c r="I42" s="79">
        <v>110</v>
      </c>
    </row>
    <row r="43" s="43" customFormat="1" ht="123.75" spans="1:9">
      <c r="A43" s="57">
        <v>17</v>
      </c>
      <c r="B43" s="30" t="s">
        <v>87</v>
      </c>
      <c r="C43" s="30" t="s">
        <v>88</v>
      </c>
      <c r="D43" s="32" t="s">
        <v>21</v>
      </c>
      <c r="E43" s="69">
        <v>36.63</v>
      </c>
      <c r="F43" s="70">
        <f t="shared" si="1"/>
        <v>57.75</v>
      </c>
      <c r="G43" s="70">
        <f t="shared" si="3"/>
        <v>2115.3825</v>
      </c>
      <c r="H43" s="68" t="s">
        <v>15</v>
      </c>
      <c r="I43" s="79">
        <v>55</v>
      </c>
    </row>
    <row r="44" s="42" customFormat="1" ht="168.75" spans="1:9">
      <c r="A44" s="57">
        <v>18</v>
      </c>
      <c r="B44" s="30" t="s">
        <v>89</v>
      </c>
      <c r="C44" s="30" t="s">
        <v>90</v>
      </c>
      <c r="D44" s="32" t="s">
        <v>21</v>
      </c>
      <c r="E44" s="69">
        <v>6.49</v>
      </c>
      <c r="F44" s="70">
        <f t="shared" si="1"/>
        <v>94.5</v>
      </c>
      <c r="G44" s="70">
        <f t="shared" si="3"/>
        <v>613.305</v>
      </c>
      <c r="H44" s="68" t="s">
        <v>15</v>
      </c>
      <c r="I44" s="79">
        <v>90</v>
      </c>
    </row>
    <row r="45" s="43" customFormat="1" ht="191.25" spans="1:9">
      <c r="A45" s="57">
        <v>19</v>
      </c>
      <c r="B45" s="30" t="s">
        <v>91</v>
      </c>
      <c r="C45" s="30" t="s">
        <v>92</v>
      </c>
      <c r="D45" s="32" t="s">
        <v>21</v>
      </c>
      <c r="E45" s="69">
        <v>63.13</v>
      </c>
      <c r="F45" s="70">
        <f t="shared" si="1"/>
        <v>94.5</v>
      </c>
      <c r="G45" s="70">
        <f t="shared" si="3"/>
        <v>5965.785</v>
      </c>
      <c r="H45" s="68" t="s">
        <v>15</v>
      </c>
      <c r="I45" s="79">
        <v>90</v>
      </c>
    </row>
    <row r="46" s="43" customFormat="1" ht="202.5" spans="1:9">
      <c r="A46" s="57">
        <v>20</v>
      </c>
      <c r="B46" s="30" t="s">
        <v>93</v>
      </c>
      <c r="C46" s="30" t="s">
        <v>94</v>
      </c>
      <c r="D46" s="32" t="s">
        <v>21</v>
      </c>
      <c r="E46" s="69">
        <v>9.5</v>
      </c>
      <c r="F46" s="70">
        <f t="shared" si="1"/>
        <v>105</v>
      </c>
      <c r="G46" s="70">
        <f t="shared" si="3"/>
        <v>997.5</v>
      </c>
      <c r="H46" s="68" t="s">
        <v>15</v>
      </c>
      <c r="I46" s="79">
        <v>100</v>
      </c>
    </row>
    <row r="47" s="43" customFormat="1" ht="146.25" spans="1:9">
      <c r="A47" s="57">
        <v>21</v>
      </c>
      <c r="B47" s="30" t="s">
        <v>95</v>
      </c>
      <c r="C47" s="30" t="s">
        <v>96</v>
      </c>
      <c r="D47" s="32" t="s">
        <v>21</v>
      </c>
      <c r="E47" s="69">
        <v>11</v>
      </c>
      <c r="F47" s="70">
        <f t="shared" si="1"/>
        <v>78.75</v>
      </c>
      <c r="G47" s="70">
        <f t="shared" si="3"/>
        <v>866.25</v>
      </c>
      <c r="H47" s="68" t="s">
        <v>15</v>
      </c>
      <c r="I47" s="79">
        <v>75</v>
      </c>
    </row>
    <row r="48" s="42" customFormat="1" ht="90" spans="1:9">
      <c r="A48" s="57">
        <v>22</v>
      </c>
      <c r="B48" s="30" t="s">
        <v>97</v>
      </c>
      <c r="C48" s="30" t="s">
        <v>98</v>
      </c>
      <c r="D48" s="32" t="s">
        <v>42</v>
      </c>
      <c r="E48" s="69">
        <v>23.54</v>
      </c>
      <c r="F48" s="70">
        <f t="shared" si="1"/>
        <v>26.25</v>
      </c>
      <c r="G48" s="70">
        <f t="shared" si="3"/>
        <v>617.925</v>
      </c>
      <c r="H48" s="68" t="s">
        <v>15</v>
      </c>
      <c r="I48" s="79">
        <v>25</v>
      </c>
    </row>
    <row r="49" s="43" customFormat="1" ht="146.25" spans="1:9">
      <c r="A49" s="57">
        <v>23</v>
      </c>
      <c r="B49" s="30" t="s">
        <v>99</v>
      </c>
      <c r="C49" s="30" t="s">
        <v>100</v>
      </c>
      <c r="D49" s="32" t="s">
        <v>42</v>
      </c>
      <c r="E49" s="69">
        <v>349.01</v>
      </c>
      <c r="F49" s="70">
        <f t="shared" si="1"/>
        <v>168</v>
      </c>
      <c r="G49" s="70">
        <f t="shared" si="3"/>
        <v>58633.68</v>
      </c>
      <c r="H49" s="68" t="s">
        <v>15</v>
      </c>
      <c r="I49" s="79">
        <v>160</v>
      </c>
    </row>
    <row r="50" s="43" customFormat="1" ht="67.5" spans="1:9">
      <c r="A50" s="57">
        <v>24</v>
      </c>
      <c r="B50" s="30" t="s">
        <v>101</v>
      </c>
      <c r="C50" s="30" t="s">
        <v>102</v>
      </c>
      <c r="D50" s="32" t="s">
        <v>21</v>
      </c>
      <c r="E50" s="32">
        <v>1</v>
      </c>
      <c r="F50" s="70">
        <f t="shared" si="1"/>
        <v>39.375</v>
      </c>
      <c r="G50" s="70">
        <f t="shared" si="3"/>
        <v>39.375</v>
      </c>
      <c r="H50" s="68" t="s">
        <v>15</v>
      </c>
      <c r="I50" s="79">
        <v>37.5</v>
      </c>
    </row>
    <row r="51" s="43" customFormat="1" ht="29" customHeight="1" spans="1:9">
      <c r="A51" s="57"/>
      <c r="B51" s="65" t="s">
        <v>103</v>
      </c>
      <c r="C51" s="59"/>
      <c r="D51" s="72"/>
      <c r="E51" s="73"/>
      <c r="F51" s="70"/>
      <c r="G51" s="70"/>
      <c r="H51" s="68"/>
      <c r="I51" s="80"/>
    </row>
    <row r="52" s="42" customFormat="1" ht="101.25" spans="1:9">
      <c r="A52" s="57">
        <v>1</v>
      </c>
      <c r="B52" s="30" t="s">
        <v>104</v>
      </c>
      <c r="C52" s="30" t="s">
        <v>105</v>
      </c>
      <c r="D52" s="32" t="s">
        <v>21</v>
      </c>
      <c r="E52" s="69">
        <v>644.72</v>
      </c>
      <c r="F52" s="70">
        <f t="shared" si="1"/>
        <v>15.75</v>
      </c>
      <c r="G52" s="70">
        <f t="shared" ref="G52:G73" si="4">F52*E52</f>
        <v>10154.34</v>
      </c>
      <c r="H52" s="68" t="s">
        <v>15</v>
      </c>
      <c r="I52" s="79">
        <v>15</v>
      </c>
    </row>
    <row r="53" s="43" customFormat="1" ht="135" spans="1:9">
      <c r="A53" s="57">
        <v>2</v>
      </c>
      <c r="B53" s="30" t="s">
        <v>106</v>
      </c>
      <c r="C53" s="30" t="s">
        <v>107</v>
      </c>
      <c r="D53" s="32" t="s">
        <v>21</v>
      </c>
      <c r="E53" s="69">
        <v>1532.81</v>
      </c>
      <c r="F53" s="70">
        <f t="shared" si="1"/>
        <v>73.5</v>
      </c>
      <c r="G53" s="70">
        <f t="shared" si="4"/>
        <v>112661.535</v>
      </c>
      <c r="H53" s="68" t="s">
        <v>15</v>
      </c>
      <c r="I53" s="79">
        <v>70</v>
      </c>
    </row>
    <row r="54" s="43" customFormat="1" ht="135" spans="1:9">
      <c r="A54" s="57">
        <v>3</v>
      </c>
      <c r="B54" s="30" t="s">
        <v>108</v>
      </c>
      <c r="C54" s="30" t="s">
        <v>109</v>
      </c>
      <c r="D54" s="32" t="s">
        <v>21</v>
      </c>
      <c r="E54" s="69">
        <v>1</v>
      </c>
      <c r="F54" s="70">
        <f t="shared" si="1"/>
        <v>73.5</v>
      </c>
      <c r="G54" s="70">
        <f t="shared" si="4"/>
        <v>73.5</v>
      </c>
      <c r="H54" s="68" t="s">
        <v>15</v>
      </c>
      <c r="I54" s="79">
        <v>70</v>
      </c>
    </row>
    <row r="55" s="43" customFormat="1" ht="135" spans="1:9">
      <c r="A55" s="57">
        <v>4</v>
      </c>
      <c r="B55" s="30" t="s">
        <v>110</v>
      </c>
      <c r="C55" s="30" t="s">
        <v>111</v>
      </c>
      <c r="D55" s="32" t="s">
        <v>21</v>
      </c>
      <c r="E55" s="69">
        <v>1116.05</v>
      </c>
      <c r="F55" s="70">
        <f t="shared" si="1"/>
        <v>84</v>
      </c>
      <c r="G55" s="70">
        <f t="shared" si="4"/>
        <v>93748.2</v>
      </c>
      <c r="H55" s="68" t="s">
        <v>15</v>
      </c>
      <c r="I55" s="79">
        <v>80</v>
      </c>
    </row>
    <row r="56" s="43" customFormat="1" ht="123.75" spans="1:9">
      <c r="A56" s="57">
        <v>5</v>
      </c>
      <c r="B56" s="30" t="s">
        <v>112</v>
      </c>
      <c r="C56" s="30" t="s">
        <v>113</v>
      </c>
      <c r="D56" s="32" t="s">
        <v>21</v>
      </c>
      <c r="E56" s="69">
        <v>1</v>
      </c>
      <c r="F56" s="70">
        <f t="shared" si="1"/>
        <v>94.5</v>
      </c>
      <c r="G56" s="70">
        <f t="shared" si="4"/>
        <v>94.5</v>
      </c>
      <c r="H56" s="68" t="s">
        <v>15</v>
      </c>
      <c r="I56" s="79">
        <v>90</v>
      </c>
    </row>
    <row r="57" s="43" customFormat="1" ht="123.75" spans="1:9">
      <c r="A57" s="57">
        <v>6</v>
      </c>
      <c r="B57" s="30" t="s">
        <v>114</v>
      </c>
      <c r="C57" s="30" t="s">
        <v>115</v>
      </c>
      <c r="D57" s="32" t="s">
        <v>21</v>
      </c>
      <c r="E57" s="69">
        <v>50.03</v>
      </c>
      <c r="F57" s="70">
        <f t="shared" si="1"/>
        <v>115.5</v>
      </c>
      <c r="G57" s="70">
        <f t="shared" si="4"/>
        <v>5778.465</v>
      </c>
      <c r="H57" s="68" t="s">
        <v>15</v>
      </c>
      <c r="I57" s="79">
        <v>110</v>
      </c>
    </row>
    <row r="58" s="43" customFormat="1" ht="157.5" spans="1:9">
      <c r="A58" s="57">
        <v>7</v>
      </c>
      <c r="B58" s="30" t="s">
        <v>116</v>
      </c>
      <c r="C58" s="30" t="s">
        <v>117</v>
      </c>
      <c r="D58" s="32" t="s">
        <v>21</v>
      </c>
      <c r="E58" s="69">
        <v>1</v>
      </c>
      <c r="F58" s="70">
        <f t="shared" si="1"/>
        <v>141.75</v>
      </c>
      <c r="G58" s="70">
        <f t="shared" si="4"/>
        <v>141.75</v>
      </c>
      <c r="H58" s="68" t="s">
        <v>15</v>
      </c>
      <c r="I58" s="79">
        <v>135</v>
      </c>
    </row>
    <row r="59" s="43" customFormat="1" ht="101.25" spans="1:9">
      <c r="A59" s="57">
        <v>8</v>
      </c>
      <c r="B59" s="30" t="s">
        <v>118</v>
      </c>
      <c r="C59" s="30" t="s">
        <v>119</v>
      </c>
      <c r="D59" s="32" t="s">
        <v>21</v>
      </c>
      <c r="E59" s="69">
        <v>1</v>
      </c>
      <c r="F59" s="70">
        <f t="shared" si="1"/>
        <v>115.5</v>
      </c>
      <c r="G59" s="70">
        <f t="shared" si="4"/>
        <v>115.5</v>
      </c>
      <c r="H59" s="68" t="s">
        <v>15</v>
      </c>
      <c r="I59" s="79">
        <v>110</v>
      </c>
    </row>
    <row r="60" s="43" customFormat="1" ht="135" spans="1:9">
      <c r="A60" s="57">
        <v>9</v>
      </c>
      <c r="B60" s="30" t="s">
        <v>120</v>
      </c>
      <c r="C60" s="30" t="s">
        <v>121</v>
      </c>
      <c r="D60" s="32" t="s">
        <v>21</v>
      </c>
      <c r="E60" s="69">
        <v>1</v>
      </c>
      <c r="F60" s="70">
        <f t="shared" si="1"/>
        <v>115.5</v>
      </c>
      <c r="G60" s="70">
        <f t="shared" si="4"/>
        <v>115.5</v>
      </c>
      <c r="H60" s="68" t="s">
        <v>15</v>
      </c>
      <c r="I60" s="79">
        <v>110</v>
      </c>
    </row>
    <row r="61" s="43" customFormat="1" ht="157.5" spans="1:9">
      <c r="A61" s="57">
        <v>10</v>
      </c>
      <c r="B61" s="30" t="s">
        <v>122</v>
      </c>
      <c r="C61" s="30" t="s">
        <v>123</v>
      </c>
      <c r="D61" s="32" t="s">
        <v>21</v>
      </c>
      <c r="E61" s="69">
        <v>89.86</v>
      </c>
      <c r="F61" s="70">
        <f t="shared" si="1"/>
        <v>115.5</v>
      </c>
      <c r="G61" s="70">
        <f t="shared" si="4"/>
        <v>10378.83</v>
      </c>
      <c r="H61" s="68" t="s">
        <v>15</v>
      </c>
      <c r="I61" s="79">
        <v>110</v>
      </c>
    </row>
    <row r="62" s="43" customFormat="1" ht="168.75" spans="1:9">
      <c r="A62" s="57">
        <v>11</v>
      </c>
      <c r="B62" s="30" t="s">
        <v>124</v>
      </c>
      <c r="C62" s="30" t="s">
        <v>125</v>
      </c>
      <c r="D62" s="32" t="s">
        <v>21</v>
      </c>
      <c r="E62" s="69">
        <v>4530.71</v>
      </c>
      <c r="F62" s="70">
        <f t="shared" si="1"/>
        <v>173.25</v>
      </c>
      <c r="G62" s="70">
        <f t="shared" si="4"/>
        <v>784945.5075</v>
      </c>
      <c r="H62" s="68" t="s">
        <v>15</v>
      </c>
      <c r="I62" s="79">
        <v>165</v>
      </c>
    </row>
    <row r="63" s="43" customFormat="1" ht="146.25" spans="1:9">
      <c r="A63" s="57">
        <v>12</v>
      </c>
      <c r="B63" s="30" t="s">
        <v>126</v>
      </c>
      <c r="C63" s="30" t="s">
        <v>127</v>
      </c>
      <c r="D63" s="32" t="s">
        <v>21</v>
      </c>
      <c r="E63" s="69">
        <v>322.36</v>
      </c>
      <c r="F63" s="70">
        <f t="shared" si="1"/>
        <v>141.75</v>
      </c>
      <c r="G63" s="70">
        <f t="shared" si="4"/>
        <v>45694.53</v>
      </c>
      <c r="H63" s="68" t="s">
        <v>15</v>
      </c>
      <c r="I63" s="79">
        <v>135</v>
      </c>
    </row>
    <row r="64" s="43" customFormat="1" ht="146.25" spans="1:9">
      <c r="A64" s="57">
        <v>13</v>
      </c>
      <c r="B64" s="30" t="s">
        <v>128</v>
      </c>
      <c r="C64" s="30" t="s">
        <v>129</v>
      </c>
      <c r="D64" s="32" t="s">
        <v>21</v>
      </c>
      <c r="E64" s="69">
        <v>2072.99</v>
      </c>
      <c r="F64" s="70">
        <f t="shared" si="1"/>
        <v>115.5</v>
      </c>
      <c r="G64" s="70">
        <f t="shared" si="4"/>
        <v>239430.345</v>
      </c>
      <c r="H64" s="68" t="s">
        <v>15</v>
      </c>
      <c r="I64" s="79">
        <v>110</v>
      </c>
    </row>
    <row r="65" s="43" customFormat="1" ht="123.75" spans="1:9">
      <c r="A65" s="57">
        <v>14</v>
      </c>
      <c r="B65" s="30" t="s">
        <v>130</v>
      </c>
      <c r="C65" s="30" t="s">
        <v>131</v>
      </c>
      <c r="D65" s="32" t="s">
        <v>21</v>
      </c>
      <c r="E65" s="69">
        <v>262.7</v>
      </c>
      <c r="F65" s="70">
        <f t="shared" si="1"/>
        <v>115.5</v>
      </c>
      <c r="G65" s="70">
        <f t="shared" si="4"/>
        <v>30341.85</v>
      </c>
      <c r="H65" s="68" t="s">
        <v>15</v>
      </c>
      <c r="I65" s="79">
        <v>110</v>
      </c>
    </row>
    <row r="66" s="43" customFormat="1" ht="101.25" spans="1:9">
      <c r="A66" s="57">
        <v>15</v>
      </c>
      <c r="B66" s="30" t="s">
        <v>132</v>
      </c>
      <c r="C66" s="30" t="s">
        <v>133</v>
      </c>
      <c r="D66" s="32" t="s">
        <v>21</v>
      </c>
      <c r="E66" s="69">
        <v>247.61</v>
      </c>
      <c r="F66" s="70">
        <f t="shared" si="1"/>
        <v>84</v>
      </c>
      <c r="G66" s="70">
        <f t="shared" si="4"/>
        <v>20799.24</v>
      </c>
      <c r="H66" s="68" t="s">
        <v>15</v>
      </c>
      <c r="I66" s="79">
        <v>80</v>
      </c>
    </row>
    <row r="67" s="43" customFormat="1" ht="123.75" spans="1:9">
      <c r="A67" s="57">
        <v>16</v>
      </c>
      <c r="B67" s="30" t="s">
        <v>134</v>
      </c>
      <c r="C67" s="30" t="s">
        <v>135</v>
      </c>
      <c r="D67" s="32" t="s">
        <v>21</v>
      </c>
      <c r="E67" s="69">
        <v>1</v>
      </c>
      <c r="F67" s="70">
        <f t="shared" si="1"/>
        <v>136.5</v>
      </c>
      <c r="G67" s="70">
        <f t="shared" si="4"/>
        <v>136.5</v>
      </c>
      <c r="H67" s="68" t="s">
        <v>15</v>
      </c>
      <c r="I67" s="79">
        <v>130</v>
      </c>
    </row>
    <row r="68" s="43" customFormat="1" ht="123.75" spans="1:9">
      <c r="A68" s="57">
        <v>17</v>
      </c>
      <c r="B68" s="30" t="s">
        <v>136</v>
      </c>
      <c r="C68" s="30" t="s">
        <v>137</v>
      </c>
      <c r="D68" s="32" t="s">
        <v>21</v>
      </c>
      <c r="E68" s="69">
        <v>1.27</v>
      </c>
      <c r="F68" s="70">
        <f t="shared" si="1"/>
        <v>136.5</v>
      </c>
      <c r="G68" s="70">
        <f t="shared" si="4"/>
        <v>173.355</v>
      </c>
      <c r="H68" s="68" t="s">
        <v>15</v>
      </c>
      <c r="I68" s="79">
        <v>130</v>
      </c>
    </row>
    <row r="69" s="43" customFormat="1" ht="123.75" spans="1:9">
      <c r="A69" s="57">
        <v>18</v>
      </c>
      <c r="B69" s="30" t="s">
        <v>138</v>
      </c>
      <c r="C69" s="30" t="s">
        <v>139</v>
      </c>
      <c r="D69" s="32" t="s">
        <v>21</v>
      </c>
      <c r="E69" s="69">
        <v>1</v>
      </c>
      <c r="F69" s="70">
        <f t="shared" si="1"/>
        <v>136.5</v>
      </c>
      <c r="G69" s="70">
        <f t="shared" si="4"/>
        <v>136.5</v>
      </c>
      <c r="H69" s="68" t="s">
        <v>15</v>
      </c>
      <c r="I69" s="79">
        <v>130</v>
      </c>
    </row>
    <row r="70" s="43" customFormat="1" ht="157.5" spans="1:9">
      <c r="A70" s="57">
        <v>19</v>
      </c>
      <c r="B70" s="30" t="s">
        <v>140</v>
      </c>
      <c r="C70" s="30" t="s">
        <v>141</v>
      </c>
      <c r="D70" s="32" t="s">
        <v>21</v>
      </c>
      <c r="E70" s="69">
        <v>1</v>
      </c>
      <c r="F70" s="70">
        <f t="shared" ref="F70:F133" si="5">I70*1.05</f>
        <v>168</v>
      </c>
      <c r="G70" s="70">
        <f t="shared" si="4"/>
        <v>168</v>
      </c>
      <c r="H70" s="68" t="s">
        <v>15</v>
      </c>
      <c r="I70" s="79">
        <v>160</v>
      </c>
    </row>
    <row r="71" s="43" customFormat="1" ht="67.5" spans="1:9">
      <c r="A71" s="57">
        <v>20</v>
      </c>
      <c r="B71" s="30" t="s">
        <v>142</v>
      </c>
      <c r="C71" s="30" t="s">
        <v>143</v>
      </c>
      <c r="D71" s="32" t="s">
        <v>21</v>
      </c>
      <c r="E71" s="69">
        <v>1</v>
      </c>
      <c r="F71" s="70">
        <f t="shared" si="5"/>
        <v>31.5</v>
      </c>
      <c r="G71" s="70">
        <f t="shared" si="4"/>
        <v>31.5</v>
      </c>
      <c r="H71" s="68" t="s">
        <v>15</v>
      </c>
      <c r="I71" s="79">
        <v>30</v>
      </c>
    </row>
    <row r="72" s="43" customFormat="1" ht="112.5" spans="1:9">
      <c r="A72" s="57">
        <v>21</v>
      </c>
      <c r="B72" s="30" t="s">
        <v>144</v>
      </c>
      <c r="C72" s="30" t="s">
        <v>145</v>
      </c>
      <c r="D72" s="32" t="s">
        <v>14</v>
      </c>
      <c r="E72" s="69">
        <v>1</v>
      </c>
      <c r="F72" s="70">
        <f t="shared" si="5"/>
        <v>516.5475</v>
      </c>
      <c r="G72" s="70">
        <f t="shared" si="4"/>
        <v>516.5475</v>
      </c>
      <c r="H72" s="68" t="s">
        <v>15</v>
      </c>
      <c r="I72" s="79">
        <v>491.95</v>
      </c>
    </row>
    <row r="73" s="43" customFormat="1" ht="90" spans="1:9">
      <c r="A73" s="57">
        <v>22</v>
      </c>
      <c r="B73" s="30" t="s">
        <v>146</v>
      </c>
      <c r="C73" s="30" t="s">
        <v>147</v>
      </c>
      <c r="D73" s="32" t="s">
        <v>21</v>
      </c>
      <c r="E73" s="69">
        <v>1</v>
      </c>
      <c r="F73" s="70">
        <f t="shared" si="5"/>
        <v>19.425</v>
      </c>
      <c r="G73" s="70">
        <f t="shared" si="4"/>
        <v>19.425</v>
      </c>
      <c r="H73" s="68" t="s">
        <v>15</v>
      </c>
      <c r="I73" s="79">
        <v>18.5</v>
      </c>
    </row>
    <row r="74" s="43" customFormat="1" ht="20" customHeight="1" spans="1:9">
      <c r="A74" s="57"/>
      <c r="B74" s="65" t="s">
        <v>148</v>
      </c>
      <c r="C74" s="59"/>
      <c r="D74" s="72"/>
      <c r="E74" s="73"/>
      <c r="F74" s="70"/>
      <c r="G74" s="70"/>
      <c r="H74" s="68"/>
      <c r="I74" s="80"/>
    </row>
    <row r="75" s="43" customFormat="1" ht="135" spans="1:9">
      <c r="A75" s="57">
        <v>1</v>
      </c>
      <c r="B75" s="30" t="s">
        <v>149</v>
      </c>
      <c r="C75" s="30" t="s">
        <v>150</v>
      </c>
      <c r="D75" s="32" t="s">
        <v>21</v>
      </c>
      <c r="E75" s="69">
        <v>131.85</v>
      </c>
      <c r="F75" s="70">
        <f t="shared" si="5"/>
        <v>52.5</v>
      </c>
      <c r="G75" s="70">
        <f t="shared" ref="G75:G98" si="6">F75*E75</f>
        <v>6922.125</v>
      </c>
      <c r="H75" s="68" t="s">
        <v>15</v>
      </c>
      <c r="I75" s="79">
        <v>50</v>
      </c>
    </row>
    <row r="76" s="43" customFormat="1" ht="146.25" spans="1:9">
      <c r="A76" s="57">
        <v>2</v>
      </c>
      <c r="B76" s="30" t="s">
        <v>151</v>
      </c>
      <c r="C76" s="30" t="s">
        <v>152</v>
      </c>
      <c r="D76" s="32" t="s">
        <v>21</v>
      </c>
      <c r="E76" s="69">
        <v>4925.48</v>
      </c>
      <c r="F76" s="70">
        <f t="shared" si="5"/>
        <v>63</v>
      </c>
      <c r="G76" s="70">
        <f t="shared" si="6"/>
        <v>310305.24</v>
      </c>
      <c r="H76" s="68" t="s">
        <v>15</v>
      </c>
      <c r="I76" s="79">
        <v>60</v>
      </c>
    </row>
    <row r="77" s="43" customFormat="1" ht="168.75" spans="1:9">
      <c r="A77" s="57">
        <v>3</v>
      </c>
      <c r="B77" s="30" t="s">
        <v>153</v>
      </c>
      <c r="C77" s="30" t="s">
        <v>154</v>
      </c>
      <c r="D77" s="32" t="s">
        <v>21</v>
      </c>
      <c r="E77" s="69">
        <v>325.94</v>
      </c>
      <c r="F77" s="70">
        <f t="shared" si="5"/>
        <v>52.5</v>
      </c>
      <c r="G77" s="70">
        <f t="shared" si="6"/>
        <v>17111.85</v>
      </c>
      <c r="H77" s="68" t="s">
        <v>15</v>
      </c>
      <c r="I77" s="79">
        <v>50</v>
      </c>
    </row>
    <row r="78" s="43" customFormat="1" ht="123.75" spans="1:9">
      <c r="A78" s="57">
        <v>4</v>
      </c>
      <c r="B78" s="30" t="s">
        <v>155</v>
      </c>
      <c r="C78" s="30" t="s">
        <v>156</v>
      </c>
      <c r="D78" s="32" t="s">
        <v>21</v>
      </c>
      <c r="E78" s="69">
        <v>4964.95</v>
      </c>
      <c r="F78" s="70">
        <f t="shared" si="5"/>
        <v>31.5</v>
      </c>
      <c r="G78" s="70">
        <f t="shared" si="6"/>
        <v>156395.925</v>
      </c>
      <c r="H78" s="68" t="s">
        <v>15</v>
      </c>
      <c r="I78" s="79">
        <v>30</v>
      </c>
    </row>
    <row r="79" s="43" customFormat="1" ht="157.5" spans="1:9">
      <c r="A79" s="57">
        <v>5</v>
      </c>
      <c r="B79" s="30" t="s">
        <v>157</v>
      </c>
      <c r="C79" s="30" t="s">
        <v>158</v>
      </c>
      <c r="D79" s="32" t="s">
        <v>21</v>
      </c>
      <c r="E79" s="69">
        <v>493.43</v>
      </c>
      <c r="F79" s="70">
        <f t="shared" si="5"/>
        <v>26.25</v>
      </c>
      <c r="G79" s="70">
        <f t="shared" si="6"/>
        <v>12952.5375</v>
      </c>
      <c r="H79" s="68" t="s">
        <v>15</v>
      </c>
      <c r="I79" s="79">
        <v>25</v>
      </c>
    </row>
    <row r="80" s="43" customFormat="1" ht="146.25" spans="1:9">
      <c r="A80" s="57">
        <v>6</v>
      </c>
      <c r="B80" s="30" t="s">
        <v>159</v>
      </c>
      <c r="C80" s="30" t="s">
        <v>160</v>
      </c>
      <c r="D80" s="32" t="s">
        <v>21</v>
      </c>
      <c r="E80" s="69">
        <v>1</v>
      </c>
      <c r="F80" s="70">
        <f t="shared" si="5"/>
        <v>26.25</v>
      </c>
      <c r="G80" s="70">
        <f t="shared" si="6"/>
        <v>26.25</v>
      </c>
      <c r="H80" s="68" t="s">
        <v>15</v>
      </c>
      <c r="I80" s="79">
        <v>25</v>
      </c>
    </row>
    <row r="81" s="43" customFormat="1" ht="168.75" spans="1:9">
      <c r="A81" s="57">
        <v>7</v>
      </c>
      <c r="B81" s="30" t="s">
        <v>161</v>
      </c>
      <c r="C81" s="30" t="s">
        <v>162</v>
      </c>
      <c r="D81" s="32" t="s">
        <v>21</v>
      </c>
      <c r="E81" s="69">
        <v>483.57</v>
      </c>
      <c r="F81" s="70">
        <f t="shared" si="5"/>
        <v>36.75</v>
      </c>
      <c r="G81" s="70">
        <f t="shared" si="6"/>
        <v>17771.1975</v>
      </c>
      <c r="H81" s="68" t="s">
        <v>15</v>
      </c>
      <c r="I81" s="79">
        <v>35</v>
      </c>
    </row>
    <row r="82" s="43" customFormat="1" ht="202.5" spans="1:9">
      <c r="A82" s="57">
        <v>8</v>
      </c>
      <c r="B82" s="30" t="s">
        <v>163</v>
      </c>
      <c r="C82" s="30" t="s">
        <v>164</v>
      </c>
      <c r="D82" s="32" t="s">
        <v>21</v>
      </c>
      <c r="E82" s="69">
        <v>337.85</v>
      </c>
      <c r="F82" s="70">
        <f t="shared" si="5"/>
        <v>105</v>
      </c>
      <c r="G82" s="70">
        <f t="shared" si="6"/>
        <v>35474.25</v>
      </c>
      <c r="H82" s="68" t="s">
        <v>15</v>
      </c>
      <c r="I82" s="79">
        <v>100</v>
      </c>
    </row>
    <row r="83" s="43" customFormat="1" ht="191.25" spans="1:9">
      <c r="A83" s="57">
        <v>9</v>
      </c>
      <c r="B83" s="30" t="s">
        <v>165</v>
      </c>
      <c r="C83" s="30" t="s">
        <v>166</v>
      </c>
      <c r="D83" s="32" t="s">
        <v>21</v>
      </c>
      <c r="E83" s="69">
        <v>56.78</v>
      </c>
      <c r="F83" s="70">
        <f t="shared" si="5"/>
        <v>136.5</v>
      </c>
      <c r="G83" s="70">
        <f t="shared" si="6"/>
        <v>7750.47</v>
      </c>
      <c r="H83" s="68" t="s">
        <v>15</v>
      </c>
      <c r="I83" s="79">
        <v>130</v>
      </c>
    </row>
    <row r="84" s="43" customFormat="1" ht="157.5" spans="1:9">
      <c r="A84" s="57">
        <v>10</v>
      </c>
      <c r="B84" s="30" t="s">
        <v>167</v>
      </c>
      <c r="C84" s="30" t="s">
        <v>168</v>
      </c>
      <c r="D84" s="32" t="s">
        <v>21</v>
      </c>
      <c r="E84" s="69">
        <v>30.44</v>
      </c>
      <c r="F84" s="70">
        <f t="shared" si="5"/>
        <v>168</v>
      </c>
      <c r="G84" s="70">
        <f t="shared" si="6"/>
        <v>5113.92</v>
      </c>
      <c r="H84" s="68" t="s">
        <v>15</v>
      </c>
      <c r="I84" s="79">
        <v>160</v>
      </c>
    </row>
    <row r="85" s="43" customFormat="1" ht="78.75" spans="1:9">
      <c r="A85" s="57">
        <v>11</v>
      </c>
      <c r="B85" s="30" t="s">
        <v>169</v>
      </c>
      <c r="C85" s="30" t="s">
        <v>170</v>
      </c>
      <c r="D85" s="32" t="s">
        <v>171</v>
      </c>
      <c r="E85" s="69">
        <v>20.1</v>
      </c>
      <c r="F85" s="70">
        <f t="shared" si="5"/>
        <v>4725</v>
      </c>
      <c r="G85" s="70">
        <f t="shared" si="6"/>
        <v>94972.5</v>
      </c>
      <c r="H85" s="68" t="s">
        <v>15</v>
      </c>
      <c r="I85" s="79">
        <v>4500</v>
      </c>
    </row>
    <row r="86" s="43" customFormat="1" ht="112.5" spans="1:9">
      <c r="A86" s="57">
        <v>12</v>
      </c>
      <c r="B86" s="30" t="s">
        <v>172</v>
      </c>
      <c r="C86" s="30" t="s">
        <v>173</v>
      </c>
      <c r="D86" s="32" t="s">
        <v>174</v>
      </c>
      <c r="E86" s="69">
        <v>80</v>
      </c>
      <c r="F86" s="70">
        <f t="shared" si="5"/>
        <v>42</v>
      </c>
      <c r="G86" s="70">
        <f t="shared" si="6"/>
        <v>3360</v>
      </c>
      <c r="H86" s="68" t="s">
        <v>15</v>
      </c>
      <c r="I86" s="79">
        <v>40</v>
      </c>
    </row>
    <row r="87" s="43" customFormat="1" ht="67.5" spans="1:9">
      <c r="A87" s="57">
        <v>13</v>
      </c>
      <c r="B87" s="30" t="s">
        <v>175</v>
      </c>
      <c r="C87" s="30" t="s">
        <v>176</v>
      </c>
      <c r="D87" s="32" t="s">
        <v>42</v>
      </c>
      <c r="E87" s="69">
        <v>620.27</v>
      </c>
      <c r="F87" s="70">
        <f t="shared" si="5"/>
        <v>21</v>
      </c>
      <c r="G87" s="70">
        <f t="shared" si="6"/>
        <v>13025.67</v>
      </c>
      <c r="H87" s="68" t="s">
        <v>15</v>
      </c>
      <c r="I87" s="79">
        <v>20</v>
      </c>
    </row>
    <row r="88" s="43" customFormat="1" ht="67.5" spans="1:9">
      <c r="A88" s="57">
        <v>14</v>
      </c>
      <c r="B88" s="30" t="s">
        <v>177</v>
      </c>
      <c r="C88" s="30" t="s">
        <v>178</v>
      </c>
      <c r="D88" s="32" t="s">
        <v>42</v>
      </c>
      <c r="E88" s="69">
        <v>14.13</v>
      </c>
      <c r="F88" s="70">
        <f t="shared" si="5"/>
        <v>21</v>
      </c>
      <c r="G88" s="70">
        <f t="shared" si="6"/>
        <v>296.73</v>
      </c>
      <c r="H88" s="68" t="s">
        <v>15</v>
      </c>
      <c r="I88" s="79">
        <v>20</v>
      </c>
    </row>
    <row r="89" s="43" customFormat="1" ht="67.5" spans="1:9">
      <c r="A89" s="57">
        <v>15</v>
      </c>
      <c r="B89" s="30" t="s">
        <v>179</v>
      </c>
      <c r="C89" s="30" t="s">
        <v>180</v>
      </c>
      <c r="D89" s="32" t="s">
        <v>42</v>
      </c>
      <c r="E89" s="69">
        <v>52.27</v>
      </c>
      <c r="F89" s="70">
        <f t="shared" si="5"/>
        <v>21</v>
      </c>
      <c r="G89" s="70">
        <f t="shared" si="6"/>
        <v>1097.67</v>
      </c>
      <c r="H89" s="68" t="s">
        <v>15</v>
      </c>
      <c r="I89" s="79">
        <v>20</v>
      </c>
    </row>
    <row r="90" s="43" customFormat="1" ht="67.5" spans="1:9">
      <c r="A90" s="57">
        <v>16</v>
      </c>
      <c r="B90" s="30" t="s">
        <v>181</v>
      </c>
      <c r="C90" s="30" t="s">
        <v>182</v>
      </c>
      <c r="D90" s="32" t="s">
        <v>42</v>
      </c>
      <c r="E90" s="69">
        <v>295.9</v>
      </c>
      <c r="F90" s="70">
        <f t="shared" si="5"/>
        <v>21</v>
      </c>
      <c r="G90" s="70">
        <f t="shared" si="6"/>
        <v>6213.9</v>
      </c>
      <c r="H90" s="68" t="s">
        <v>15</v>
      </c>
      <c r="I90" s="79">
        <v>20</v>
      </c>
    </row>
    <row r="91" s="43" customFormat="1" ht="67.5" spans="1:9">
      <c r="A91" s="57">
        <v>17</v>
      </c>
      <c r="B91" s="30" t="s">
        <v>183</v>
      </c>
      <c r="C91" s="30" t="s">
        <v>184</v>
      </c>
      <c r="D91" s="32" t="s">
        <v>42</v>
      </c>
      <c r="E91" s="69">
        <v>355.92</v>
      </c>
      <c r="F91" s="70">
        <f t="shared" si="5"/>
        <v>21</v>
      </c>
      <c r="G91" s="70">
        <f t="shared" si="6"/>
        <v>7474.32</v>
      </c>
      <c r="H91" s="68" t="s">
        <v>15</v>
      </c>
      <c r="I91" s="79">
        <v>20</v>
      </c>
    </row>
    <row r="92" s="43" customFormat="1" ht="67.5" spans="1:9">
      <c r="A92" s="57">
        <v>18</v>
      </c>
      <c r="B92" s="30" t="s">
        <v>185</v>
      </c>
      <c r="C92" s="30" t="s">
        <v>186</v>
      </c>
      <c r="D92" s="32" t="s">
        <v>42</v>
      </c>
      <c r="E92" s="69">
        <v>13.8</v>
      </c>
      <c r="F92" s="70">
        <f t="shared" si="5"/>
        <v>21</v>
      </c>
      <c r="G92" s="70">
        <f t="shared" si="6"/>
        <v>289.8</v>
      </c>
      <c r="H92" s="68" t="s">
        <v>15</v>
      </c>
      <c r="I92" s="79">
        <v>20</v>
      </c>
    </row>
    <row r="93" s="44" customFormat="1" ht="67.5" spans="1:9">
      <c r="A93" s="57">
        <v>19</v>
      </c>
      <c r="B93" s="30" t="s">
        <v>187</v>
      </c>
      <c r="C93" s="30" t="s">
        <v>188</v>
      </c>
      <c r="D93" s="32" t="s">
        <v>42</v>
      </c>
      <c r="E93" s="69">
        <v>56.78</v>
      </c>
      <c r="F93" s="70">
        <f t="shared" si="5"/>
        <v>10.5</v>
      </c>
      <c r="G93" s="70">
        <f t="shared" si="6"/>
        <v>596.19</v>
      </c>
      <c r="H93" s="68" t="s">
        <v>15</v>
      </c>
      <c r="I93" s="79">
        <v>10</v>
      </c>
    </row>
    <row r="94" s="43" customFormat="1" ht="67.5" spans="1:9">
      <c r="A94" s="57">
        <v>20</v>
      </c>
      <c r="B94" s="30" t="s">
        <v>189</v>
      </c>
      <c r="C94" s="30" t="s">
        <v>190</v>
      </c>
      <c r="D94" s="32" t="s">
        <v>42</v>
      </c>
      <c r="E94" s="69">
        <v>47.52</v>
      </c>
      <c r="F94" s="70">
        <f t="shared" si="5"/>
        <v>10.5</v>
      </c>
      <c r="G94" s="70">
        <f t="shared" si="6"/>
        <v>498.96</v>
      </c>
      <c r="H94" s="68" t="s">
        <v>15</v>
      </c>
      <c r="I94" s="79">
        <v>10</v>
      </c>
    </row>
    <row r="95" s="43" customFormat="1" ht="78.75" spans="1:9">
      <c r="A95" s="57">
        <v>21</v>
      </c>
      <c r="B95" s="30" t="s">
        <v>191</v>
      </c>
      <c r="C95" s="30" t="s">
        <v>192</v>
      </c>
      <c r="D95" s="32" t="s">
        <v>42</v>
      </c>
      <c r="E95" s="69">
        <v>47.52</v>
      </c>
      <c r="F95" s="70">
        <f t="shared" si="5"/>
        <v>10.5</v>
      </c>
      <c r="G95" s="70">
        <f t="shared" si="6"/>
        <v>498.96</v>
      </c>
      <c r="H95" s="68" t="s">
        <v>15</v>
      </c>
      <c r="I95" s="79">
        <v>10</v>
      </c>
    </row>
    <row r="96" s="43" customFormat="1" ht="112.5" spans="1:9">
      <c r="A96" s="57">
        <v>22</v>
      </c>
      <c r="B96" s="30" t="s">
        <v>193</v>
      </c>
      <c r="C96" s="30" t="s">
        <v>194</v>
      </c>
      <c r="D96" s="32" t="s">
        <v>21</v>
      </c>
      <c r="E96" s="69">
        <v>40.01</v>
      </c>
      <c r="F96" s="70">
        <f t="shared" si="5"/>
        <v>136.5</v>
      </c>
      <c r="G96" s="70">
        <f t="shared" si="6"/>
        <v>5461.365</v>
      </c>
      <c r="H96" s="68" t="s">
        <v>15</v>
      </c>
      <c r="I96" s="79">
        <v>130</v>
      </c>
    </row>
    <row r="97" s="43" customFormat="1" ht="45" spans="1:9">
      <c r="A97" s="57">
        <v>23</v>
      </c>
      <c r="B97" s="30" t="s">
        <v>195</v>
      </c>
      <c r="C97" s="30" t="s">
        <v>196</v>
      </c>
      <c r="D97" s="32" t="s">
        <v>174</v>
      </c>
      <c r="E97" s="69">
        <f>60+400</f>
        <v>460</v>
      </c>
      <c r="F97" s="70">
        <f t="shared" si="5"/>
        <v>10.5</v>
      </c>
      <c r="G97" s="70">
        <f t="shared" si="6"/>
        <v>4830</v>
      </c>
      <c r="H97" s="68" t="s">
        <v>15</v>
      </c>
      <c r="I97" s="79">
        <v>10</v>
      </c>
    </row>
    <row r="98" s="43" customFormat="1" ht="45" spans="1:9">
      <c r="A98" s="57">
        <v>24</v>
      </c>
      <c r="B98" s="30" t="s">
        <v>197</v>
      </c>
      <c r="C98" s="30" t="s">
        <v>196</v>
      </c>
      <c r="D98" s="32" t="s">
        <v>174</v>
      </c>
      <c r="E98" s="69">
        <f>150+600</f>
        <v>750</v>
      </c>
      <c r="F98" s="70">
        <f t="shared" si="5"/>
        <v>5.25</v>
      </c>
      <c r="G98" s="70">
        <f t="shared" si="6"/>
        <v>3937.5</v>
      </c>
      <c r="H98" s="68" t="s">
        <v>15</v>
      </c>
      <c r="I98" s="79">
        <v>5</v>
      </c>
    </row>
    <row r="99" s="43" customFormat="1" ht="33" customHeight="1" spans="1:9">
      <c r="A99" s="57"/>
      <c r="B99" s="65" t="s">
        <v>198</v>
      </c>
      <c r="C99" s="59"/>
      <c r="D99" s="72"/>
      <c r="E99" s="73"/>
      <c r="F99" s="70"/>
      <c r="G99" s="70"/>
      <c r="H99" s="68"/>
      <c r="I99" s="80"/>
    </row>
    <row r="100" s="43" customFormat="1" ht="112.5" spans="1:9">
      <c r="A100" s="57">
        <v>1</v>
      </c>
      <c r="B100" s="30" t="s">
        <v>199</v>
      </c>
      <c r="C100" s="30" t="s">
        <v>200</v>
      </c>
      <c r="D100" s="32" t="s">
        <v>21</v>
      </c>
      <c r="E100" s="69">
        <f>7100.84-E101</f>
        <v>5282.83</v>
      </c>
      <c r="F100" s="70">
        <f t="shared" si="5"/>
        <v>26.25</v>
      </c>
      <c r="G100" s="70">
        <f t="shared" ref="G100:G107" si="7">F100*E100</f>
        <v>138674.2875</v>
      </c>
      <c r="H100" s="68" t="s">
        <v>15</v>
      </c>
      <c r="I100" s="79">
        <v>25</v>
      </c>
    </row>
    <row r="101" s="43" customFormat="1" ht="112.5" spans="1:9">
      <c r="A101" s="57">
        <v>2</v>
      </c>
      <c r="B101" s="30" t="s">
        <v>201</v>
      </c>
      <c r="C101" s="30" t="s">
        <v>200</v>
      </c>
      <c r="D101" s="32" t="s">
        <v>21</v>
      </c>
      <c r="E101" s="32">
        <v>1818.01</v>
      </c>
      <c r="F101" s="70">
        <f t="shared" si="5"/>
        <v>26.25</v>
      </c>
      <c r="G101" s="70">
        <f t="shared" si="7"/>
        <v>47722.7625</v>
      </c>
      <c r="H101" s="68" t="s">
        <v>15</v>
      </c>
      <c r="I101" s="79">
        <v>25</v>
      </c>
    </row>
    <row r="102" s="43" customFormat="1" ht="112.5" spans="1:9">
      <c r="A102" s="57">
        <v>3</v>
      </c>
      <c r="B102" s="30" t="s">
        <v>202</v>
      </c>
      <c r="C102" s="30" t="s">
        <v>203</v>
      </c>
      <c r="D102" s="32" t="s">
        <v>21</v>
      </c>
      <c r="E102" s="69">
        <v>419.46</v>
      </c>
      <c r="F102" s="70">
        <f t="shared" si="5"/>
        <v>26.25</v>
      </c>
      <c r="G102" s="70">
        <f t="shared" si="7"/>
        <v>11010.825</v>
      </c>
      <c r="H102" s="68" t="s">
        <v>15</v>
      </c>
      <c r="I102" s="79">
        <v>25</v>
      </c>
    </row>
    <row r="103" s="43" customFormat="1" ht="112.5" spans="1:9">
      <c r="A103" s="57">
        <v>4</v>
      </c>
      <c r="B103" s="30" t="s">
        <v>204</v>
      </c>
      <c r="C103" s="30" t="s">
        <v>205</v>
      </c>
      <c r="D103" s="32" t="s">
        <v>21</v>
      </c>
      <c r="E103" s="69">
        <v>11211.81</v>
      </c>
      <c r="F103" s="70">
        <f t="shared" si="5"/>
        <v>26.25</v>
      </c>
      <c r="G103" s="70">
        <f t="shared" si="7"/>
        <v>294310.0125</v>
      </c>
      <c r="H103" s="68" t="s">
        <v>15</v>
      </c>
      <c r="I103" s="79">
        <v>25</v>
      </c>
    </row>
    <row r="104" s="43" customFormat="1" ht="112.5" spans="1:9">
      <c r="A104" s="57">
        <v>5</v>
      </c>
      <c r="B104" s="30" t="s">
        <v>206</v>
      </c>
      <c r="C104" s="30" t="s">
        <v>207</v>
      </c>
      <c r="D104" s="32" t="s">
        <v>21</v>
      </c>
      <c r="E104" s="69">
        <v>162.75</v>
      </c>
      <c r="F104" s="70">
        <f t="shared" si="5"/>
        <v>26.25</v>
      </c>
      <c r="G104" s="70">
        <f t="shared" si="7"/>
        <v>4272.1875</v>
      </c>
      <c r="H104" s="68" t="s">
        <v>15</v>
      </c>
      <c r="I104" s="79">
        <v>25</v>
      </c>
    </row>
    <row r="105" s="43" customFormat="1" ht="101.25" spans="1:9">
      <c r="A105" s="57">
        <v>6</v>
      </c>
      <c r="B105" s="30" t="s">
        <v>208</v>
      </c>
      <c r="C105" s="30" t="s">
        <v>209</v>
      </c>
      <c r="D105" s="32" t="s">
        <v>21</v>
      </c>
      <c r="E105" s="69">
        <v>145.42</v>
      </c>
      <c r="F105" s="70">
        <f t="shared" si="5"/>
        <v>26.25</v>
      </c>
      <c r="G105" s="70">
        <f t="shared" si="7"/>
        <v>3817.275</v>
      </c>
      <c r="H105" s="68" t="s">
        <v>15</v>
      </c>
      <c r="I105" s="79">
        <v>25</v>
      </c>
    </row>
    <row r="106" s="43" customFormat="1" ht="101.25" spans="1:9">
      <c r="A106" s="57">
        <v>7</v>
      </c>
      <c r="B106" s="30" t="s">
        <v>210</v>
      </c>
      <c r="C106" s="30" t="s">
        <v>211</v>
      </c>
      <c r="D106" s="32" t="s">
        <v>21</v>
      </c>
      <c r="E106" s="69">
        <v>2704.58</v>
      </c>
      <c r="F106" s="70">
        <f t="shared" si="5"/>
        <v>26.25</v>
      </c>
      <c r="G106" s="70">
        <f t="shared" si="7"/>
        <v>70995.225</v>
      </c>
      <c r="H106" s="68" t="s">
        <v>15</v>
      </c>
      <c r="I106" s="79">
        <v>25</v>
      </c>
    </row>
    <row r="107" s="43" customFormat="1" ht="101.25" spans="1:9">
      <c r="A107" s="57">
        <v>8</v>
      </c>
      <c r="B107" s="30" t="s">
        <v>212</v>
      </c>
      <c r="C107" s="30" t="s">
        <v>213</v>
      </c>
      <c r="D107" s="32" t="s">
        <v>21</v>
      </c>
      <c r="E107" s="69">
        <v>1</v>
      </c>
      <c r="F107" s="70">
        <f t="shared" si="5"/>
        <v>15.75</v>
      </c>
      <c r="G107" s="70">
        <f t="shared" si="7"/>
        <v>15.75</v>
      </c>
      <c r="H107" s="68" t="s">
        <v>15</v>
      </c>
      <c r="I107" s="79">
        <v>15</v>
      </c>
    </row>
    <row r="108" s="43" customFormat="1" ht="18" customHeight="1" spans="1:9">
      <c r="A108" s="57"/>
      <c r="B108" s="65" t="s">
        <v>214</v>
      </c>
      <c r="C108" s="59"/>
      <c r="D108" s="72"/>
      <c r="E108" s="73"/>
      <c r="F108" s="70"/>
      <c r="G108" s="70"/>
      <c r="H108" s="68"/>
      <c r="I108" s="80"/>
    </row>
    <row r="109" s="43" customFormat="1" ht="56.25" spans="1:9">
      <c r="A109" s="57">
        <v>1</v>
      </c>
      <c r="B109" s="30" t="s">
        <v>215</v>
      </c>
      <c r="C109" s="30" t="s">
        <v>216</v>
      </c>
      <c r="D109" s="32" t="s">
        <v>42</v>
      </c>
      <c r="E109" s="69">
        <v>61.25</v>
      </c>
      <c r="F109" s="70">
        <f t="shared" si="5"/>
        <v>10.5</v>
      </c>
      <c r="G109" s="70">
        <f t="shared" ref="G109:G117" si="8">F109*E109</f>
        <v>643.125</v>
      </c>
      <c r="H109" s="68" t="s">
        <v>15</v>
      </c>
      <c r="I109" s="79">
        <v>10</v>
      </c>
    </row>
    <row r="110" s="43" customFormat="1" ht="101.25" spans="1:9">
      <c r="A110" s="57">
        <v>2</v>
      </c>
      <c r="B110" s="30" t="s">
        <v>217</v>
      </c>
      <c r="C110" s="30" t="s">
        <v>218</v>
      </c>
      <c r="D110" s="32" t="s">
        <v>42</v>
      </c>
      <c r="E110" s="69">
        <v>41.83</v>
      </c>
      <c r="F110" s="70">
        <f t="shared" si="5"/>
        <v>252</v>
      </c>
      <c r="G110" s="70">
        <f t="shared" si="8"/>
        <v>10541.16</v>
      </c>
      <c r="H110" s="68" t="s">
        <v>15</v>
      </c>
      <c r="I110" s="79">
        <v>240</v>
      </c>
    </row>
    <row r="111" s="43" customFormat="1" ht="101.25" spans="1:9">
      <c r="A111" s="57">
        <v>3</v>
      </c>
      <c r="B111" s="30" t="s">
        <v>219</v>
      </c>
      <c r="C111" s="30" t="s">
        <v>220</v>
      </c>
      <c r="D111" s="32" t="s">
        <v>21</v>
      </c>
      <c r="E111" s="69">
        <v>50.2</v>
      </c>
      <c r="F111" s="70">
        <f t="shared" si="5"/>
        <v>126</v>
      </c>
      <c r="G111" s="70">
        <f t="shared" si="8"/>
        <v>6325.2</v>
      </c>
      <c r="H111" s="68" t="s">
        <v>15</v>
      </c>
      <c r="I111" s="79">
        <v>120</v>
      </c>
    </row>
    <row r="112" s="43" customFormat="1" ht="123.75" spans="1:9">
      <c r="A112" s="57">
        <v>4</v>
      </c>
      <c r="B112" s="30" t="s">
        <v>221</v>
      </c>
      <c r="C112" s="30" t="s">
        <v>222</v>
      </c>
      <c r="D112" s="32" t="s">
        <v>42</v>
      </c>
      <c r="E112" s="69">
        <v>25.2</v>
      </c>
      <c r="F112" s="70">
        <f t="shared" si="5"/>
        <v>252</v>
      </c>
      <c r="G112" s="70">
        <f t="shared" si="8"/>
        <v>6350.4</v>
      </c>
      <c r="H112" s="68" t="s">
        <v>15</v>
      </c>
      <c r="I112" s="79">
        <v>240</v>
      </c>
    </row>
    <row r="113" s="43" customFormat="1" ht="56.25" spans="1:9">
      <c r="A113" s="57">
        <v>5</v>
      </c>
      <c r="B113" s="30" t="s">
        <v>223</v>
      </c>
      <c r="C113" s="30" t="s">
        <v>224</v>
      </c>
      <c r="D113" s="32" t="s">
        <v>174</v>
      </c>
      <c r="E113" s="69">
        <v>1</v>
      </c>
      <c r="F113" s="70">
        <f t="shared" si="5"/>
        <v>31.5</v>
      </c>
      <c r="G113" s="70">
        <f t="shared" si="8"/>
        <v>31.5</v>
      </c>
      <c r="H113" s="68" t="s">
        <v>15</v>
      </c>
      <c r="I113" s="79">
        <v>30</v>
      </c>
    </row>
    <row r="114" s="43" customFormat="1" ht="56.25" spans="1:9">
      <c r="A114" s="57">
        <v>6</v>
      </c>
      <c r="B114" s="30" t="s">
        <v>225</v>
      </c>
      <c r="C114" s="30" t="s">
        <v>226</v>
      </c>
      <c r="D114" s="32" t="s">
        <v>174</v>
      </c>
      <c r="E114" s="69">
        <v>1</v>
      </c>
      <c r="F114" s="70">
        <f t="shared" si="5"/>
        <v>31.5</v>
      </c>
      <c r="G114" s="70">
        <f t="shared" si="8"/>
        <v>31.5</v>
      </c>
      <c r="H114" s="68" t="s">
        <v>15</v>
      </c>
      <c r="I114" s="79">
        <v>30</v>
      </c>
    </row>
    <row r="115" s="43" customFormat="1" ht="135" spans="1:9">
      <c r="A115" s="57">
        <v>7</v>
      </c>
      <c r="B115" s="30" t="s">
        <v>227</v>
      </c>
      <c r="C115" s="30" t="s">
        <v>228</v>
      </c>
      <c r="D115" s="32" t="s">
        <v>42</v>
      </c>
      <c r="E115" s="69">
        <v>47.52</v>
      </c>
      <c r="F115" s="70">
        <f t="shared" si="5"/>
        <v>84</v>
      </c>
      <c r="G115" s="70">
        <f t="shared" si="8"/>
        <v>3991.68</v>
      </c>
      <c r="H115" s="68" t="s">
        <v>15</v>
      </c>
      <c r="I115" s="79">
        <v>80</v>
      </c>
    </row>
    <row r="116" s="43" customFormat="1" ht="157.5" spans="1:9">
      <c r="A116" s="57">
        <v>8</v>
      </c>
      <c r="B116" s="30" t="s">
        <v>229</v>
      </c>
      <c r="C116" s="30" t="s">
        <v>230</v>
      </c>
      <c r="D116" s="32" t="s">
        <v>42</v>
      </c>
      <c r="E116" s="69">
        <v>1</v>
      </c>
      <c r="F116" s="70">
        <f t="shared" si="5"/>
        <v>1575</v>
      </c>
      <c r="G116" s="70">
        <f t="shared" si="8"/>
        <v>1575</v>
      </c>
      <c r="H116" s="68" t="s">
        <v>15</v>
      </c>
      <c r="I116" s="79">
        <v>1500</v>
      </c>
    </row>
    <row r="117" s="43" customFormat="1" ht="123.75" spans="1:9">
      <c r="A117" s="57">
        <v>9</v>
      </c>
      <c r="B117" s="30" t="s">
        <v>231</v>
      </c>
      <c r="C117" s="30" t="s">
        <v>232</v>
      </c>
      <c r="D117" s="32" t="s">
        <v>42</v>
      </c>
      <c r="E117" s="69">
        <v>1</v>
      </c>
      <c r="F117" s="70">
        <f t="shared" si="5"/>
        <v>84</v>
      </c>
      <c r="G117" s="70">
        <f t="shared" si="8"/>
        <v>84</v>
      </c>
      <c r="H117" s="68" t="s">
        <v>15</v>
      </c>
      <c r="I117" s="79">
        <v>80</v>
      </c>
    </row>
    <row r="118" s="42" customFormat="1" ht="20" customHeight="1" spans="1:9">
      <c r="A118" s="57" t="s">
        <v>233</v>
      </c>
      <c r="B118" s="58" t="s">
        <v>234</v>
      </c>
      <c r="C118" s="59"/>
      <c r="D118" s="65"/>
      <c r="E118" s="81"/>
      <c r="F118" s="70"/>
      <c r="G118" s="82">
        <f>SUM(G119:G224)</f>
        <v>1891450.16025</v>
      </c>
      <c r="H118" s="64"/>
      <c r="I118" s="83"/>
    </row>
    <row r="119" s="43" customFormat="1" ht="20" customHeight="1" spans="1:9">
      <c r="A119" s="57"/>
      <c r="B119" s="65" t="s">
        <v>11</v>
      </c>
      <c r="C119" s="59"/>
      <c r="D119" s="72"/>
      <c r="E119" s="73"/>
      <c r="F119" s="70"/>
      <c r="G119" s="70"/>
      <c r="H119" s="68"/>
      <c r="I119" s="80"/>
    </row>
    <row r="120" s="43" customFormat="1" ht="112.5" spans="1:9">
      <c r="A120" s="57">
        <v>1</v>
      </c>
      <c r="B120" s="30" t="s">
        <v>12</v>
      </c>
      <c r="C120" s="30" t="s">
        <v>13</v>
      </c>
      <c r="D120" s="32" t="s">
        <v>14</v>
      </c>
      <c r="E120" s="32">
        <f>5.48-E5</f>
        <v>1.3</v>
      </c>
      <c r="F120" s="70">
        <f t="shared" si="5"/>
        <v>516.5475</v>
      </c>
      <c r="G120" s="70">
        <f t="shared" ref="G120:G133" si="9">F120*E120</f>
        <v>671.51175</v>
      </c>
      <c r="H120" s="68" t="s">
        <v>15</v>
      </c>
      <c r="I120" s="79">
        <f>311.95+180</f>
        <v>491.95</v>
      </c>
    </row>
    <row r="121" s="43" customFormat="1" ht="78.75" spans="1:9">
      <c r="A121" s="57">
        <v>2</v>
      </c>
      <c r="B121" s="30" t="s">
        <v>16</v>
      </c>
      <c r="C121" s="30" t="s">
        <v>17</v>
      </c>
      <c r="D121" s="32" t="s">
        <v>14</v>
      </c>
      <c r="E121" s="32">
        <f>22.91-E6</f>
        <v>7.06</v>
      </c>
      <c r="F121" s="70">
        <f t="shared" si="5"/>
        <v>52.5</v>
      </c>
      <c r="G121" s="70">
        <f t="shared" si="9"/>
        <v>370.65</v>
      </c>
      <c r="H121" s="68" t="s">
        <v>15</v>
      </c>
      <c r="I121" s="79">
        <f>50</f>
        <v>50</v>
      </c>
    </row>
    <row r="122" s="43" customFormat="1" ht="18" customHeight="1" spans="1:9">
      <c r="A122" s="57"/>
      <c r="B122" s="65" t="s">
        <v>18</v>
      </c>
      <c r="C122" s="59"/>
      <c r="D122" s="72"/>
      <c r="E122" s="73"/>
      <c r="F122" s="70"/>
      <c r="G122" s="70"/>
      <c r="H122" s="68"/>
      <c r="I122" s="79"/>
    </row>
    <row r="123" s="43" customFormat="1" ht="67.5" spans="1:9">
      <c r="A123" s="57">
        <v>1</v>
      </c>
      <c r="B123" s="30" t="s">
        <v>19</v>
      </c>
      <c r="C123" s="30" t="s">
        <v>20</v>
      </c>
      <c r="D123" s="32" t="s">
        <v>21</v>
      </c>
      <c r="E123" s="32">
        <f>345.6-E8</f>
        <v>117.96</v>
      </c>
      <c r="F123" s="70">
        <f t="shared" si="5"/>
        <v>63</v>
      </c>
      <c r="G123" s="70">
        <f t="shared" si="9"/>
        <v>7431.48</v>
      </c>
      <c r="H123" s="68" t="s">
        <v>15</v>
      </c>
      <c r="I123" s="79">
        <v>60</v>
      </c>
    </row>
    <row r="124" s="43" customFormat="1" ht="67.5" spans="1:9">
      <c r="A124" s="57">
        <v>2</v>
      </c>
      <c r="B124" s="30" t="s">
        <v>22</v>
      </c>
      <c r="C124" s="30" t="s">
        <v>20</v>
      </c>
      <c r="D124" s="32" t="s">
        <v>21</v>
      </c>
      <c r="E124" s="32">
        <f>446.88-E9</f>
        <v>112.92</v>
      </c>
      <c r="F124" s="70">
        <f t="shared" si="5"/>
        <v>63</v>
      </c>
      <c r="G124" s="70">
        <f t="shared" si="9"/>
        <v>7113.96</v>
      </c>
      <c r="H124" s="68" t="s">
        <v>15</v>
      </c>
      <c r="I124" s="79">
        <v>60</v>
      </c>
    </row>
    <row r="125" s="43" customFormat="1" ht="56.25" spans="1:9">
      <c r="A125" s="57">
        <v>3</v>
      </c>
      <c r="B125" s="30" t="s">
        <v>23</v>
      </c>
      <c r="C125" s="30" t="s">
        <v>24</v>
      </c>
      <c r="D125" s="32" t="s">
        <v>21</v>
      </c>
      <c r="E125" s="32">
        <f>70.46-E10</f>
        <v>22.5</v>
      </c>
      <c r="F125" s="70">
        <f t="shared" si="5"/>
        <v>71.4</v>
      </c>
      <c r="G125" s="70">
        <f t="shared" si="9"/>
        <v>1606.5</v>
      </c>
      <c r="H125" s="68" t="s">
        <v>15</v>
      </c>
      <c r="I125" s="79">
        <v>68</v>
      </c>
    </row>
    <row r="126" s="43" customFormat="1" ht="123.75" spans="1:9">
      <c r="A126" s="57">
        <v>4</v>
      </c>
      <c r="B126" s="30" t="s">
        <v>25</v>
      </c>
      <c r="C126" s="30" t="s">
        <v>26</v>
      </c>
      <c r="D126" s="32" t="s">
        <v>21</v>
      </c>
      <c r="E126" s="32">
        <f>136.32-E11</f>
        <v>28.8</v>
      </c>
      <c r="F126" s="70">
        <f t="shared" si="5"/>
        <v>304.5</v>
      </c>
      <c r="G126" s="70">
        <f t="shared" si="9"/>
        <v>8769.6</v>
      </c>
      <c r="H126" s="68" t="s">
        <v>15</v>
      </c>
      <c r="I126" s="79">
        <f>130+5+20+20*2+35*2+25</f>
        <v>290</v>
      </c>
    </row>
    <row r="127" s="43" customFormat="1" ht="112.5" spans="1:9">
      <c r="A127" s="57">
        <v>5</v>
      </c>
      <c r="B127" s="30" t="s">
        <v>27</v>
      </c>
      <c r="C127" s="30" t="s">
        <v>28</v>
      </c>
      <c r="D127" s="32" t="s">
        <v>21</v>
      </c>
      <c r="E127" s="32">
        <f>98.16-E12</f>
        <v>34.8</v>
      </c>
      <c r="F127" s="70">
        <f t="shared" si="5"/>
        <v>278.25</v>
      </c>
      <c r="G127" s="70">
        <f t="shared" si="9"/>
        <v>9683.1</v>
      </c>
      <c r="H127" s="68" t="s">
        <v>15</v>
      </c>
      <c r="I127" s="79">
        <v>265</v>
      </c>
    </row>
    <row r="128" s="43" customFormat="1" ht="112.5" spans="1:9">
      <c r="A128" s="57">
        <v>6</v>
      </c>
      <c r="B128" s="30" t="s">
        <v>29</v>
      </c>
      <c r="C128" s="30" t="s">
        <v>30</v>
      </c>
      <c r="D128" s="32" t="s">
        <v>21</v>
      </c>
      <c r="E128" s="32">
        <v>40.32</v>
      </c>
      <c r="F128" s="70">
        <f t="shared" si="5"/>
        <v>294</v>
      </c>
      <c r="G128" s="70">
        <f t="shared" si="9"/>
        <v>11854.08</v>
      </c>
      <c r="H128" s="68" t="s">
        <v>15</v>
      </c>
      <c r="I128" s="79">
        <v>280</v>
      </c>
    </row>
    <row r="129" s="43" customFormat="1" ht="112.5" spans="1:9">
      <c r="A129" s="57">
        <v>7</v>
      </c>
      <c r="B129" s="30" t="s">
        <v>31</v>
      </c>
      <c r="C129" s="30" t="s">
        <v>235</v>
      </c>
      <c r="D129" s="32" t="s">
        <v>21</v>
      </c>
      <c r="E129" s="32">
        <f>5.04-E14</f>
        <v>4.04</v>
      </c>
      <c r="F129" s="70">
        <f t="shared" si="5"/>
        <v>294</v>
      </c>
      <c r="G129" s="70">
        <f t="shared" si="9"/>
        <v>1187.76</v>
      </c>
      <c r="H129" s="68" t="s">
        <v>15</v>
      </c>
      <c r="I129" s="79">
        <v>280</v>
      </c>
    </row>
    <row r="130" s="43" customFormat="1" ht="101.25" spans="1:9">
      <c r="A130" s="57">
        <v>8</v>
      </c>
      <c r="B130" s="30" t="s">
        <v>35</v>
      </c>
      <c r="C130" s="30" t="s">
        <v>36</v>
      </c>
      <c r="D130" s="32" t="s">
        <v>21</v>
      </c>
      <c r="E130" s="32">
        <f>16.7-E16</f>
        <v>7.96</v>
      </c>
      <c r="F130" s="70">
        <f t="shared" si="5"/>
        <v>136.5</v>
      </c>
      <c r="G130" s="70">
        <f t="shared" si="9"/>
        <v>1086.54</v>
      </c>
      <c r="H130" s="68" t="s">
        <v>15</v>
      </c>
      <c r="I130" s="79">
        <v>130</v>
      </c>
    </row>
    <row r="131" s="43" customFormat="1" ht="135" spans="1:9">
      <c r="A131" s="57">
        <v>9</v>
      </c>
      <c r="B131" s="30" t="s">
        <v>37</v>
      </c>
      <c r="C131" s="30" t="s">
        <v>38</v>
      </c>
      <c r="D131" s="32" t="s">
        <v>39</v>
      </c>
      <c r="E131" s="32">
        <f>42-E17</f>
        <v>12</v>
      </c>
      <c r="F131" s="70">
        <f t="shared" si="5"/>
        <v>294</v>
      </c>
      <c r="G131" s="70">
        <f t="shared" si="9"/>
        <v>3528</v>
      </c>
      <c r="H131" s="68" t="s">
        <v>15</v>
      </c>
      <c r="I131" s="79">
        <v>280</v>
      </c>
    </row>
    <row r="132" s="43" customFormat="1" ht="101.25" spans="1:9">
      <c r="A132" s="57">
        <v>10</v>
      </c>
      <c r="B132" s="30" t="s">
        <v>40</v>
      </c>
      <c r="C132" s="30" t="s">
        <v>41</v>
      </c>
      <c r="D132" s="32" t="s">
        <v>42</v>
      </c>
      <c r="E132" s="32">
        <f>1180.24-E18</f>
        <v>304.07</v>
      </c>
      <c r="F132" s="70">
        <f t="shared" si="5"/>
        <v>47.25</v>
      </c>
      <c r="G132" s="70">
        <f t="shared" si="9"/>
        <v>14367.3075</v>
      </c>
      <c r="H132" s="68" t="s">
        <v>15</v>
      </c>
      <c r="I132" s="79">
        <v>45</v>
      </c>
    </row>
    <row r="133" s="43" customFormat="1" ht="112.5" spans="1:9">
      <c r="A133" s="57">
        <v>11</v>
      </c>
      <c r="B133" s="30" t="s">
        <v>43</v>
      </c>
      <c r="C133" s="30" t="s">
        <v>44</v>
      </c>
      <c r="D133" s="32" t="s">
        <v>42</v>
      </c>
      <c r="E133" s="32">
        <f>249.27-E19</f>
        <v>209.93</v>
      </c>
      <c r="F133" s="70">
        <f t="shared" si="5"/>
        <v>47.25</v>
      </c>
      <c r="G133" s="70">
        <f t="shared" si="9"/>
        <v>9919.1925</v>
      </c>
      <c r="H133" s="68" t="s">
        <v>15</v>
      </c>
      <c r="I133" s="79">
        <v>45</v>
      </c>
    </row>
    <row r="134" s="43" customFormat="1" ht="16" customHeight="1" spans="1:9">
      <c r="A134" s="57"/>
      <c r="B134" s="65" t="s">
        <v>47</v>
      </c>
      <c r="C134" s="59"/>
      <c r="D134" s="72"/>
      <c r="E134" s="73"/>
      <c r="F134" s="70"/>
      <c r="G134" s="70"/>
      <c r="H134" s="68"/>
      <c r="I134" s="79"/>
    </row>
    <row r="135" s="43" customFormat="1" ht="101.25" spans="1:9">
      <c r="A135" s="57">
        <v>1</v>
      </c>
      <c r="B135" s="30" t="s">
        <v>48</v>
      </c>
      <c r="C135" s="30" t="s">
        <v>49</v>
      </c>
      <c r="D135" s="32" t="s">
        <v>21</v>
      </c>
      <c r="E135" s="69">
        <f>529.08-E22</f>
        <v>89.7</v>
      </c>
      <c r="F135" s="70">
        <f t="shared" ref="F134:F197" si="10">I135*1.05</f>
        <v>19.425</v>
      </c>
      <c r="G135" s="70">
        <f t="shared" ref="G135:G138" si="11">F135*E135</f>
        <v>1742.4225</v>
      </c>
      <c r="H135" s="68" t="s">
        <v>15</v>
      </c>
      <c r="I135" s="79">
        <v>18.5</v>
      </c>
    </row>
    <row r="136" s="43" customFormat="1" ht="101.25" spans="1:9">
      <c r="A136" s="57">
        <v>2</v>
      </c>
      <c r="B136" s="30" t="s">
        <v>50</v>
      </c>
      <c r="C136" s="30" t="s">
        <v>51</v>
      </c>
      <c r="D136" s="32" t="s">
        <v>21</v>
      </c>
      <c r="E136" s="69">
        <f>1068.13-E23</f>
        <v>364.59</v>
      </c>
      <c r="F136" s="70">
        <f t="shared" si="10"/>
        <v>19.425</v>
      </c>
      <c r="G136" s="70">
        <f t="shared" si="11"/>
        <v>7082.16075</v>
      </c>
      <c r="H136" s="68" t="s">
        <v>15</v>
      </c>
      <c r="I136" s="79">
        <v>18.5</v>
      </c>
    </row>
    <row r="137" s="43" customFormat="1" ht="123.75" spans="1:9">
      <c r="A137" s="57">
        <v>3</v>
      </c>
      <c r="B137" s="30" t="s">
        <v>52</v>
      </c>
      <c r="C137" s="30" t="s">
        <v>53</v>
      </c>
      <c r="D137" s="32" t="s">
        <v>42</v>
      </c>
      <c r="E137" s="69">
        <f>66.22-E24</f>
        <v>23.88</v>
      </c>
      <c r="F137" s="70">
        <f t="shared" si="10"/>
        <v>36.75</v>
      </c>
      <c r="G137" s="70">
        <f t="shared" si="11"/>
        <v>877.59</v>
      </c>
      <c r="H137" s="68" t="s">
        <v>15</v>
      </c>
      <c r="I137" s="79">
        <v>35</v>
      </c>
    </row>
    <row r="138" s="43" customFormat="1" ht="135" spans="1:9">
      <c r="A138" s="57">
        <v>4</v>
      </c>
      <c r="B138" s="30" t="s">
        <v>54</v>
      </c>
      <c r="C138" s="30" t="s">
        <v>55</v>
      </c>
      <c r="D138" s="32" t="s">
        <v>42</v>
      </c>
      <c r="E138" s="69">
        <v>1</v>
      </c>
      <c r="F138" s="70">
        <f t="shared" si="10"/>
        <v>63</v>
      </c>
      <c r="G138" s="70">
        <f t="shared" si="11"/>
        <v>63</v>
      </c>
      <c r="H138" s="68" t="s">
        <v>15</v>
      </c>
      <c r="I138" s="79">
        <v>60</v>
      </c>
    </row>
    <row r="139" s="43" customFormat="1" ht="19" customHeight="1" spans="1:9">
      <c r="A139" s="57"/>
      <c r="B139" s="65" t="s">
        <v>56</v>
      </c>
      <c r="C139" s="59"/>
      <c r="D139" s="72"/>
      <c r="E139" s="73"/>
      <c r="F139" s="70"/>
      <c r="G139" s="70"/>
      <c r="H139" s="68"/>
      <c r="I139" s="79"/>
    </row>
    <row r="140" s="44" customFormat="1" ht="90" spans="1:9">
      <c r="A140" s="57">
        <v>1</v>
      </c>
      <c r="B140" s="30" t="s">
        <v>236</v>
      </c>
      <c r="C140" s="30" t="s">
        <v>58</v>
      </c>
      <c r="D140" s="32" t="s">
        <v>21</v>
      </c>
      <c r="E140" s="32">
        <f>412.74-E27</f>
        <v>129.07</v>
      </c>
      <c r="F140" s="70">
        <f t="shared" si="10"/>
        <v>15.75</v>
      </c>
      <c r="G140" s="70">
        <f t="shared" ref="G140:G162" si="12">F140*E140</f>
        <v>2032.8525</v>
      </c>
      <c r="H140" s="68" t="s">
        <v>15</v>
      </c>
      <c r="I140" s="79">
        <v>15</v>
      </c>
    </row>
    <row r="141" s="43" customFormat="1" ht="90" spans="1:9">
      <c r="A141" s="57">
        <v>2</v>
      </c>
      <c r="B141" s="30" t="s">
        <v>237</v>
      </c>
      <c r="C141" s="30" t="s">
        <v>60</v>
      </c>
      <c r="D141" s="32" t="s">
        <v>21</v>
      </c>
      <c r="E141" s="32">
        <f>9008.6-E28</f>
        <v>4188.37</v>
      </c>
      <c r="F141" s="70">
        <f t="shared" si="10"/>
        <v>23.625</v>
      </c>
      <c r="G141" s="70">
        <f t="shared" si="12"/>
        <v>98950.24125</v>
      </c>
      <c r="H141" s="68" t="s">
        <v>15</v>
      </c>
      <c r="I141" s="79">
        <v>22.5</v>
      </c>
    </row>
    <row r="142" s="43" customFormat="1" ht="78.75" spans="1:9">
      <c r="A142" s="57">
        <v>3</v>
      </c>
      <c r="B142" s="30" t="s">
        <v>61</v>
      </c>
      <c r="C142" s="30" t="s">
        <v>238</v>
      </c>
      <c r="D142" s="32" t="s">
        <v>21</v>
      </c>
      <c r="E142" s="32">
        <f>273.43-E29</f>
        <v>231.61</v>
      </c>
      <c r="F142" s="70">
        <f t="shared" si="10"/>
        <v>15.75</v>
      </c>
      <c r="G142" s="70">
        <f t="shared" si="12"/>
        <v>3647.8575</v>
      </c>
      <c r="H142" s="68" t="s">
        <v>15</v>
      </c>
      <c r="I142" s="79">
        <v>15</v>
      </c>
    </row>
    <row r="143" s="43" customFormat="1" ht="67.5" spans="1:9">
      <c r="A143" s="57">
        <v>4</v>
      </c>
      <c r="B143" s="30" t="s">
        <v>63</v>
      </c>
      <c r="C143" s="30" t="s">
        <v>64</v>
      </c>
      <c r="D143" s="32" t="s">
        <v>21</v>
      </c>
      <c r="E143" s="32">
        <f>5319.18-E30</f>
        <v>1850</v>
      </c>
      <c r="F143" s="70">
        <f t="shared" si="10"/>
        <v>31.5</v>
      </c>
      <c r="G143" s="70">
        <f t="shared" si="12"/>
        <v>58275</v>
      </c>
      <c r="H143" s="68" t="s">
        <v>15</v>
      </c>
      <c r="I143" s="79">
        <v>30</v>
      </c>
    </row>
    <row r="144" s="43" customFormat="1" ht="135" spans="1:9">
      <c r="A144" s="57">
        <v>5</v>
      </c>
      <c r="B144" s="30" t="s">
        <v>65</v>
      </c>
      <c r="C144" s="30" t="s">
        <v>66</v>
      </c>
      <c r="D144" s="32" t="s">
        <v>21</v>
      </c>
      <c r="E144" s="32">
        <f>4869.92-E31</f>
        <v>1315.91</v>
      </c>
      <c r="F144" s="70">
        <f t="shared" si="10"/>
        <v>47.25</v>
      </c>
      <c r="G144" s="70">
        <f t="shared" si="12"/>
        <v>62176.7475</v>
      </c>
      <c r="H144" s="68" t="s">
        <v>15</v>
      </c>
      <c r="I144" s="79">
        <v>45</v>
      </c>
    </row>
    <row r="145" s="43" customFormat="1" ht="168.75" spans="1:9">
      <c r="A145" s="57">
        <v>6</v>
      </c>
      <c r="B145" s="30" t="s">
        <v>67</v>
      </c>
      <c r="C145" s="30" t="s">
        <v>68</v>
      </c>
      <c r="D145" s="32" t="s">
        <v>21</v>
      </c>
      <c r="E145" s="32">
        <f>412.74-E32</f>
        <v>129.07</v>
      </c>
      <c r="F145" s="70">
        <f t="shared" si="10"/>
        <v>47.25</v>
      </c>
      <c r="G145" s="70">
        <f t="shared" si="12"/>
        <v>6098.5575</v>
      </c>
      <c r="H145" s="68" t="s">
        <v>15</v>
      </c>
      <c r="I145" s="79">
        <v>45</v>
      </c>
    </row>
    <row r="146" s="43" customFormat="1" ht="67.5" spans="1:9">
      <c r="A146" s="57">
        <v>7</v>
      </c>
      <c r="B146" s="30" t="s">
        <v>69</v>
      </c>
      <c r="C146" s="30" t="s">
        <v>239</v>
      </c>
      <c r="D146" s="32" t="s">
        <v>21</v>
      </c>
      <c r="E146" s="32">
        <f>178.25-E33</f>
        <v>48.55</v>
      </c>
      <c r="F146" s="70">
        <f t="shared" si="10"/>
        <v>31.5</v>
      </c>
      <c r="G146" s="70">
        <f t="shared" si="12"/>
        <v>1529.325</v>
      </c>
      <c r="H146" s="68" t="s">
        <v>15</v>
      </c>
      <c r="I146" s="79">
        <v>30</v>
      </c>
    </row>
    <row r="147" s="43" customFormat="1" ht="168.75" spans="1:9">
      <c r="A147" s="57">
        <v>8</v>
      </c>
      <c r="B147" s="30" t="s">
        <v>71</v>
      </c>
      <c r="C147" s="30" t="s">
        <v>72</v>
      </c>
      <c r="D147" s="32" t="s">
        <v>21</v>
      </c>
      <c r="E147" s="32">
        <f>361.88-E34</f>
        <v>360.88</v>
      </c>
      <c r="F147" s="70">
        <f t="shared" si="10"/>
        <v>47.25</v>
      </c>
      <c r="G147" s="70">
        <f t="shared" si="12"/>
        <v>17051.58</v>
      </c>
      <c r="H147" s="68" t="s">
        <v>15</v>
      </c>
      <c r="I147" s="79">
        <v>45</v>
      </c>
    </row>
    <row r="148" s="43" customFormat="1" ht="168.75" spans="1:9">
      <c r="A148" s="57">
        <v>9</v>
      </c>
      <c r="B148" s="30" t="s">
        <v>73</v>
      </c>
      <c r="C148" s="30" t="s">
        <v>72</v>
      </c>
      <c r="D148" s="32" t="s">
        <v>21</v>
      </c>
      <c r="E148" s="32">
        <f>1945.12-E35</f>
        <v>936.46</v>
      </c>
      <c r="F148" s="70">
        <f t="shared" si="10"/>
        <v>47.25</v>
      </c>
      <c r="G148" s="70">
        <f t="shared" si="12"/>
        <v>44247.735</v>
      </c>
      <c r="H148" s="68" t="s">
        <v>15</v>
      </c>
      <c r="I148" s="79">
        <v>45</v>
      </c>
    </row>
    <row r="149" s="43" customFormat="1" ht="168.75" spans="1:9">
      <c r="A149" s="57">
        <v>10</v>
      </c>
      <c r="B149" s="30" t="s">
        <v>74</v>
      </c>
      <c r="C149" s="30" t="s">
        <v>75</v>
      </c>
      <c r="D149" s="32" t="s">
        <v>21</v>
      </c>
      <c r="E149" s="32">
        <f>411.86-E36</f>
        <v>410.86</v>
      </c>
      <c r="F149" s="70">
        <f t="shared" si="10"/>
        <v>57.75</v>
      </c>
      <c r="G149" s="70">
        <f t="shared" si="12"/>
        <v>23727.165</v>
      </c>
      <c r="H149" s="68" t="s">
        <v>15</v>
      </c>
      <c r="I149" s="79">
        <v>55</v>
      </c>
    </row>
    <row r="150" s="43" customFormat="1" ht="168.75" spans="1:9">
      <c r="A150" s="57">
        <v>11</v>
      </c>
      <c r="B150" s="30" t="s">
        <v>76</v>
      </c>
      <c r="C150" s="30" t="s">
        <v>77</v>
      </c>
      <c r="D150" s="32" t="s">
        <v>21</v>
      </c>
      <c r="E150" s="32">
        <f>814.13-E37</f>
        <v>454.16</v>
      </c>
      <c r="F150" s="70">
        <f t="shared" si="10"/>
        <v>31.5</v>
      </c>
      <c r="G150" s="70">
        <f t="shared" si="12"/>
        <v>14306.04</v>
      </c>
      <c r="H150" s="68" t="s">
        <v>15</v>
      </c>
      <c r="I150" s="79">
        <v>30</v>
      </c>
    </row>
    <row r="151" s="43" customFormat="1" ht="168.75" spans="1:9">
      <c r="A151" s="57">
        <v>12</v>
      </c>
      <c r="B151" s="30" t="s">
        <v>78</v>
      </c>
      <c r="C151" s="30" t="s">
        <v>77</v>
      </c>
      <c r="D151" s="32" t="s">
        <v>21</v>
      </c>
      <c r="E151" s="32">
        <f>3877.06-E38</f>
        <v>1228.09</v>
      </c>
      <c r="F151" s="70">
        <f t="shared" si="10"/>
        <v>31.5</v>
      </c>
      <c r="G151" s="70">
        <f t="shared" si="12"/>
        <v>38684.835</v>
      </c>
      <c r="H151" s="68" t="s">
        <v>15</v>
      </c>
      <c r="I151" s="79">
        <v>30</v>
      </c>
    </row>
    <row r="152" s="43" customFormat="1" ht="101.25" spans="1:9">
      <c r="A152" s="57">
        <v>13</v>
      </c>
      <c r="B152" s="30" t="s">
        <v>79</v>
      </c>
      <c r="C152" s="30" t="s">
        <v>80</v>
      </c>
      <c r="D152" s="32" t="s">
        <v>21</v>
      </c>
      <c r="E152" s="32">
        <v>237.67</v>
      </c>
      <c r="F152" s="70">
        <f t="shared" si="10"/>
        <v>36.75</v>
      </c>
      <c r="G152" s="70">
        <f t="shared" si="12"/>
        <v>8734.3725</v>
      </c>
      <c r="H152" s="68" t="s">
        <v>15</v>
      </c>
      <c r="I152" s="79">
        <v>35</v>
      </c>
    </row>
    <row r="153" s="43" customFormat="1" ht="146.25" spans="1:9">
      <c r="A153" s="57">
        <v>14</v>
      </c>
      <c r="B153" s="30" t="s">
        <v>81</v>
      </c>
      <c r="C153" s="30" t="s">
        <v>82</v>
      </c>
      <c r="D153" s="32" t="s">
        <v>42</v>
      </c>
      <c r="E153" s="32">
        <f>804.2-E40</f>
        <v>286.16</v>
      </c>
      <c r="F153" s="70">
        <f t="shared" si="10"/>
        <v>8.4</v>
      </c>
      <c r="G153" s="70">
        <f t="shared" si="12"/>
        <v>2403.744</v>
      </c>
      <c r="H153" s="68" t="s">
        <v>15</v>
      </c>
      <c r="I153" s="79">
        <v>8</v>
      </c>
    </row>
    <row r="154" s="43" customFormat="1" ht="123.75" spans="1:9">
      <c r="A154" s="57">
        <v>15</v>
      </c>
      <c r="B154" s="30" t="s">
        <v>83</v>
      </c>
      <c r="C154" s="30" t="s">
        <v>84</v>
      </c>
      <c r="D154" s="32" t="s">
        <v>42</v>
      </c>
      <c r="E154" s="32">
        <f>6374.87-E41</f>
        <v>2210.57</v>
      </c>
      <c r="F154" s="70">
        <f t="shared" si="10"/>
        <v>15.75</v>
      </c>
      <c r="G154" s="70">
        <f t="shared" si="12"/>
        <v>34816.4775</v>
      </c>
      <c r="H154" s="68" t="s">
        <v>15</v>
      </c>
      <c r="I154" s="79">
        <v>15</v>
      </c>
    </row>
    <row r="155" s="43" customFormat="1" ht="180" spans="1:9">
      <c r="A155" s="57">
        <v>16</v>
      </c>
      <c r="B155" s="30" t="s">
        <v>85</v>
      </c>
      <c r="C155" s="30" t="s">
        <v>86</v>
      </c>
      <c r="D155" s="32" t="s">
        <v>21</v>
      </c>
      <c r="E155" s="32">
        <f>386.32-E42</f>
        <v>285.08</v>
      </c>
      <c r="F155" s="70">
        <f t="shared" si="10"/>
        <v>115.5</v>
      </c>
      <c r="G155" s="70">
        <f t="shared" si="12"/>
        <v>32926.74</v>
      </c>
      <c r="H155" s="68" t="s">
        <v>15</v>
      </c>
      <c r="I155" s="79">
        <v>110</v>
      </c>
    </row>
    <row r="156" s="43" customFormat="1" ht="123.75" spans="1:9">
      <c r="A156" s="57">
        <v>17</v>
      </c>
      <c r="B156" s="30" t="s">
        <v>87</v>
      </c>
      <c r="C156" s="30" t="s">
        <v>88</v>
      </c>
      <c r="D156" s="32" t="s">
        <v>21</v>
      </c>
      <c r="E156" s="32">
        <v>1</v>
      </c>
      <c r="F156" s="70">
        <f t="shared" si="10"/>
        <v>57.75</v>
      </c>
      <c r="G156" s="70">
        <f t="shared" si="12"/>
        <v>57.75</v>
      </c>
      <c r="H156" s="68" t="s">
        <v>15</v>
      </c>
      <c r="I156" s="79">
        <v>55</v>
      </c>
    </row>
    <row r="157" s="43" customFormat="1" ht="168.75" spans="1:9">
      <c r="A157" s="57">
        <v>18</v>
      </c>
      <c r="B157" s="30" t="s">
        <v>89</v>
      </c>
      <c r="C157" s="30" t="s">
        <v>90</v>
      </c>
      <c r="D157" s="32" t="s">
        <v>21</v>
      </c>
      <c r="E157" s="32">
        <v>1</v>
      </c>
      <c r="F157" s="70">
        <f t="shared" si="10"/>
        <v>94.5</v>
      </c>
      <c r="G157" s="70">
        <f t="shared" si="12"/>
        <v>94.5</v>
      </c>
      <c r="H157" s="68" t="s">
        <v>15</v>
      </c>
      <c r="I157" s="79">
        <v>90</v>
      </c>
    </row>
    <row r="158" s="43" customFormat="1" ht="191.25" spans="1:9">
      <c r="A158" s="57">
        <v>19</v>
      </c>
      <c r="B158" s="30" t="s">
        <v>91</v>
      </c>
      <c r="C158" s="30" t="s">
        <v>92</v>
      </c>
      <c r="D158" s="32" t="s">
        <v>21</v>
      </c>
      <c r="E158" s="32">
        <f>103.48-E45</f>
        <v>40.35</v>
      </c>
      <c r="F158" s="70">
        <f t="shared" si="10"/>
        <v>94.5</v>
      </c>
      <c r="G158" s="70">
        <f t="shared" si="12"/>
        <v>3813.075</v>
      </c>
      <c r="H158" s="68" t="s">
        <v>15</v>
      </c>
      <c r="I158" s="79">
        <v>90</v>
      </c>
    </row>
    <row r="159" s="43" customFormat="1" ht="202.5" spans="1:9">
      <c r="A159" s="57">
        <v>20</v>
      </c>
      <c r="B159" s="30" t="s">
        <v>93</v>
      </c>
      <c r="C159" s="30" t="s">
        <v>94</v>
      </c>
      <c r="D159" s="32" t="s">
        <v>21</v>
      </c>
      <c r="E159" s="32">
        <v>1</v>
      </c>
      <c r="F159" s="70">
        <f t="shared" si="10"/>
        <v>105</v>
      </c>
      <c r="G159" s="70">
        <f t="shared" si="12"/>
        <v>105</v>
      </c>
      <c r="H159" s="68" t="s">
        <v>15</v>
      </c>
      <c r="I159" s="79">
        <v>100</v>
      </c>
    </row>
    <row r="160" s="43" customFormat="1" ht="146.25" spans="1:9">
      <c r="A160" s="57">
        <v>21</v>
      </c>
      <c r="B160" s="30" t="s">
        <v>95</v>
      </c>
      <c r="C160" s="30" t="s">
        <v>96</v>
      </c>
      <c r="D160" s="32" t="s">
        <v>21</v>
      </c>
      <c r="E160" s="32">
        <f>17.06-E47</f>
        <v>6.06</v>
      </c>
      <c r="F160" s="70">
        <f t="shared" si="10"/>
        <v>78.75</v>
      </c>
      <c r="G160" s="70">
        <f t="shared" si="12"/>
        <v>477.225</v>
      </c>
      <c r="H160" s="68" t="s">
        <v>15</v>
      </c>
      <c r="I160" s="79">
        <v>75</v>
      </c>
    </row>
    <row r="161" s="42" customFormat="1" ht="90" spans="1:9">
      <c r="A161" s="57">
        <v>22</v>
      </c>
      <c r="B161" s="30" t="s">
        <v>97</v>
      </c>
      <c r="C161" s="30" t="s">
        <v>98</v>
      </c>
      <c r="D161" s="32" t="s">
        <v>42</v>
      </c>
      <c r="E161" s="32">
        <v>1</v>
      </c>
      <c r="F161" s="70">
        <f t="shared" si="10"/>
        <v>26.25</v>
      </c>
      <c r="G161" s="70">
        <f t="shared" si="12"/>
        <v>26.25</v>
      </c>
      <c r="H161" s="68" t="s">
        <v>15</v>
      </c>
      <c r="I161" s="79">
        <v>25</v>
      </c>
    </row>
    <row r="162" s="43" customFormat="1" ht="146.25" spans="1:9">
      <c r="A162" s="57">
        <v>23</v>
      </c>
      <c r="B162" s="30" t="s">
        <v>99</v>
      </c>
      <c r="C162" s="30" t="s">
        <v>100</v>
      </c>
      <c r="D162" s="32" t="s">
        <v>42</v>
      </c>
      <c r="E162" s="32">
        <f>558.55-E49</f>
        <v>209.54</v>
      </c>
      <c r="F162" s="70">
        <f t="shared" si="10"/>
        <v>168</v>
      </c>
      <c r="G162" s="70">
        <f t="shared" si="12"/>
        <v>35202.72</v>
      </c>
      <c r="H162" s="68" t="s">
        <v>15</v>
      </c>
      <c r="I162" s="79">
        <v>160</v>
      </c>
    </row>
    <row r="163" s="43" customFormat="1" ht="28" customHeight="1" spans="1:9">
      <c r="A163" s="57"/>
      <c r="B163" s="65" t="s">
        <v>103</v>
      </c>
      <c r="C163" s="59"/>
      <c r="D163" s="72"/>
      <c r="E163" s="73"/>
      <c r="F163" s="70"/>
      <c r="G163" s="70"/>
      <c r="H163" s="68"/>
      <c r="I163" s="79"/>
    </row>
    <row r="164" s="43" customFormat="1" ht="101.25" spans="1:9">
      <c r="A164" s="57">
        <v>1</v>
      </c>
      <c r="B164" s="30" t="s">
        <v>104</v>
      </c>
      <c r="C164" s="30" t="s">
        <v>240</v>
      </c>
      <c r="D164" s="32" t="s">
        <v>21</v>
      </c>
      <c r="E164" s="32">
        <f>351.37*2-E52</f>
        <v>58.02</v>
      </c>
      <c r="F164" s="70">
        <f t="shared" si="10"/>
        <v>15.75</v>
      </c>
      <c r="G164" s="70">
        <f t="shared" ref="G164:G181" si="13">F164*E164</f>
        <v>913.815</v>
      </c>
      <c r="H164" s="68" t="s">
        <v>15</v>
      </c>
      <c r="I164" s="79">
        <v>15</v>
      </c>
    </row>
    <row r="165" s="43" customFormat="1" ht="135" spans="1:9">
      <c r="A165" s="57">
        <v>2</v>
      </c>
      <c r="B165" s="30" t="s">
        <v>106</v>
      </c>
      <c r="C165" s="30" t="s">
        <v>107</v>
      </c>
      <c r="D165" s="32" t="s">
        <v>21</v>
      </c>
      <c r="E165" s="32">
        <f>2583.53-E53-E166</f>
        <v>609.16</v>
      </c>
      <c r="F165" s="70">
        <f t="shared" si="10"/>
        <v>73.5</v>
      </c>
      <c r="G165" s="70">
        <f t="shared" si="13"/>
        <v>44773.26</v>
      </c>
      <c r="H165" s="68" t="s">
        <v>15</v>
      </c>
      <c r="I165" s="79">
        <v>70</v>
      </c>
    </row>
    <row r="166" s="43" customFormat="1" ht="135" spans="1:9">
      <c r="A166" s="57">
        <v>3</v>
      </c>
      <c r="B166" s="30" t="s">
        <v>108</v>
      </c>
      <c r="C166" s="30" t="s">
        <v>241</v>
      </c>
      <c r="D166" s="32" t="s">
        <v>21</v>
      </c>
      <c r="E166" s="69">
        <v>441.56</v>
      </c>
      <c r="F166" s="70">
        <f t="shared" si="10"/>
        <v>73.5</v>
      </c>
      <c r="G166" s="70">
        <f t="shared" si="13"/>
        <v>32454.66</v>
      </c>
      <c r="H166" s="68" t="s">
        <v>15</v>
      </c>
      <c r="I166" s="79">
        <v>70</v>
      </c>
    </row>
    <row r="167" s="43" customFormat="1" ht="135" spans="1:9">
      <c r="A167" s="57">
        <v>4</v>
      </c>
      <c r="B167" s="30" t="s">
        <v>110</v>
      </c>
      <c r="C167" s="30" t="s">
        <v>111</v>
      </c>
      <c r="D167" s="32" t="s">
        <v>21</v>
      </c>
      <c r="E167" s="32">
        <f>1291.82-E55</f>
        <v>175.77</v>
      </c>
      <c r="F167" s="70">
        <f t="shared" si="10"/>
        <v>84</v>
      </c>
      <c r="G167" s="70">
        <f t="shared" si="13"/>
        <v>14764.68</v>
      </c>
      <c r="H167" s="68" t="s">
        <v>15</v>
      </c>
      <c r="I167" s="79">
        <v>80</v>
      </c>
    </row>
    <row r="168" s="43" customFormat="1" ht="123.75" spans="1:9">
      <c r="A168" s="57">
        <v>5</v>
      </c>
      <c r="B168" s="30" t="s">
        <v>112</v>
      </c>
      <c r="C168" s="30" t="s">
        <v>113</v>
      </c>
      <c r="D168" s="32" t="s">
        <v>21</v>
      </c>
      <c r="E168" s="32">
        <f>64.16-E56</f>
        <v>63.16</v>
      </c>
      <c r="F168" s="70">
        <f t="shared" si="10"/>
        <v>94.5</v>
      </c>
      <c r="G168" s="70">
        <f t="shared" si="13"/>
        <v>5968.62</v>
      </c>
      <c r="H168" s="68" t="s">
        <v>15</v>
      </c>
      <c r="I168" s="79">
        <v>90</v>
      </c>
    </row>
    <row r="169" s="43" customFormat="1" ht="123.75" spans="1:9">
      <c r="A169" s="57">
        <v>6</v>
      </c>
      <c r="B169" s="30" t="s">
        <v>114</v>
      </c>
      <c r="C169" s="30" t="s">
        <v>115</v>
      </c>
      <c r="D169" s="32" t="s">
        <v>21</v>
      </c>
      <c r="E169" s="32">
        <v>1</v>
      </c>
      <c r="F169" s="70">
        <f t="shared" si="10"/>
        <v>115.5</v>
      </c>
      <c r="G169" s="70">
        <f t="shared" si="13"/>
        <v>115.5</v>
      </c>
      <c r="H169" s="68" t="s">
        <v>15</v>
      </c>
      <c r="I169" s="79">
        <v>110</v>
      </c>
    </row>
    <row r="170" s="43" customFormat="1" ht="157.5" spans="1:9">
      <c r="A170" s="57">
        <v>7</v>
      </c>
      <c r="B170" s="30" t="s">
        <v>116</v>
      </c>
      <c r="C170" s="30" t="s">
        <v>117</v>
      </c>
      <c r="D170" s="32" t="s">
        <v>21</v>
      </c>
      <c r="E170" s="32">
        <f>316.57-E58</f>
        <v>315.57</v>
      </c>
      <c r="F170" s="70">
        <f t="shared" si="10"/>
        <v>141.75</v>
      </c>
      <c r="G170" s="70">
        <f t="shared" si="13"/>
        <v>44732.0475</v>
      </c>
      <c r="H170" s="68" t="s">
        <v>15</v>
      </c>
      <c r="I170" s="79">
        <v>135</v>
      </c>
    </row>
    <row r="171" s="43" customFormat="1" ht="101.25" spans="1:9">
      <c r="A171" s="57">
        <v>8</v>
      </c>
      <c r="B171" s="30" t="s">
        <v>118</v>
      </c>
      <c r="C171" s="30" t="s">
        <v>119</v>
      </c>
      <c r="D171" s="32" t="s">
        <v>21</v>
      </c>
      <c r="E171" s="32">
        <f>28.39-E59</f>
        <v>27.39</v>
      </c>
      <c r="F171" s="70">
        <f t="shared" si="10"/>
        <v>115.5</v>
      </c>
      <c r="G171" s="70">
        <f t="shared" si="13"/>
        <v>3163.545</v>
      </c>
      <c r="H171" s="68" t="s">
        <v>15</v>
      </c>
      <c r="I171" s="79">
        <v>110</v>
      </c>
    </row>
    <row r="172" s="43" customFormat="1" ht="135" spans="1:9">
      <c r="A172" s="57">
        <v>9</v>
      </c>
      <c r="B172" s="30" t="s">
        <v>120</v>
      </c>
      <c r="C172" s="30" t="s">
        <v>121</v>
      </c>
      <c r="D172" s="32" t="s">
        <v>21</v>
      </c>
      <c r="E172" s="32">
        <f>38.76-E60</f>
        <v>37.76</v>
      </c>
      <c r="F172" s="70">
        <f t="shared" si="10"/>
        <v>115.5</v>
      </c>
      <c r="G172" s="70">
        <f t="shared" si="13"/>
        <v>4361.28</v>
      </c>
      <c r="H172" s="68" t="s">
        <v>15</v>
      </c>
      <c r="I172" s="79">
        <v>110</v>
      </c>
    </row>
    <row r="173" s="43" customFormat="1" ht="157.5" spans="1:9">
      <c r="A173" s="57">
        <v>10</v>
      </c>
      <c r="B173" s="30" t="s">
        <v>122</v>
      </c>
      <c r="C173" s="30" t="s">
        <v>123</v>
      </c>
      <c r="D173" s="32" t="s">
        <v>21</v>
      </c>
      <c r="E173" s="32">
        <f>274.3-E61</f>
        <v>184.44</v>
      </c>
      <c r="F173" s="70">
        <f t="shared" si="10"/>
        <v>115.5</v>
      </c>
      <c r="G173" s="70">
        <f t="shared" si="13"/>
        <v>21302.82</v>
      </c>
      <c r="H173" s="68" t="s">
        <v>15</v>
      </c>
      <c r="I173" s="79">
        <v>110</v>
      </c>
    </row>
    <row r="174" s="43" customFormat="1" ht="168.75" spans="1:9">
      <c r="A174" s="57">
        <v>11</v>
      </c>
      <c r="B174" s="30" t="s">
        <v>124</v>
      </c>
      <c r="C174" s="30" t="s">
        <v>125</v>
      </c>
      <c r="D174" s="32" t="s">
        <v>21</v>
      </c>
      <c r="E174" s="32">
        <f>7105.79-E62</f>
        <v>2575.08</v>
      </c>
      <c r="F174" s="70">
        <f t="shared" si="10"/>
        <v>173.25</v>
      </c>
      <c r="G174" s="70">
        <f t="shared" si="13"/>
        <v>446132.61</v>
      </c>
      <c r="H174" s="68" t="s">
        <v>15</v>
      </c>
      <c r="I174" s="79">
        <v>165</v>
      </c>
    </row>
    <row r="175" s="43" customFormat="1" ht="146.25" spans="1:9">
      <c r="A175" s="57">
        <v>12</v>
      </c>
      <c r="B175" s="30" t="s">
        <v>126</v>
      </c>
      <c r="C175" s="30" t="s">
        <v>127</v>
      </c>
      <c r="D175" s="32" t="s">
        <v>21</v>
      </c>
      <c r="E175" s="32">
        <f>351.37-E63</f>
        <v>29.01</v>
      </c>
      <c r="F175" s="70">
        <f t="shared" si="10"/>
        <v>141.75</v>
      </c>
      <c r="G175" s="70">
        <f t="shared" si="13"/>
        <v>4112.1675</v>
      </c>
      <c r="H175" s="68" t="s">
        <v>15</v>
      </c>
      <c r="I175" s="79">
        <v>135</v>
      </c>
    </row>
    <row r="176" s="43" customFormat="1" ht="146.25" spans="1:9">
      <c r="A176" s="57">
        <v>13</v>
      </c>
      <c r="B176" s="30" t="s">
        <v>128</v>
      </c>
      <c r="C176" s="30" t="s">
        <v>129</v>
      </c>
      <c r="D176" s="32" t="s">
        <v>21</v>
      </c>
      <c r="E176" s="32">
        <f>3218.48-E64</f>
        <v>1145.49</v>
      </c>
      <c r="F176" s="70">
        <f t="shared" si="10"/>
        <v>115.5</v>
      </c>
      <c r="G176" s="70">
        <f t="shared" si="13"/>
        <v>132304.095</v>
      </c>
      <c r="H176" s="68" t="s">
        <v>15</v>
      </c>
      <c r="I176" s="79">
        <v>110</v>
      </c>
    </row>
    <row r="177" s="43" customFormat="1" ht="123.75" spans="1:9">
      <c r="A177" s="57">
        <v>14</v>
      </c>
      <c r="B177" s="30" t="s">
        <v>130</v>
      </c>
      <c r="C177" s="30" t="s">
        <v>131</v>
      </c>
      <c r="D177" s="32" t="s">
        <v>21</v>
      </c>
      <c r="E177" s="32">
        <f>375.9-E65</f>
        <v>113.2</v>
      </c>
      <c r="F177" s="70">
        <f t="shared" si="10"/>
        <v>115.5</v>
      </c>
      <c r="G177" s="70">
        <f t="shared" si="13"/>
        <v>13074.6</v>
      </c>
      <c r="H177" s="68" t="s">
        <v>15</v>
      </c>
      <c r="I177" s="79">
        <v>110</v>
      </c>
    </row>
    <row r="178" s="43" customFormat="1" ht="101.25" spans="1:9">
      <c r="A178" s="57">
        <v>15</v>
      </c>
      <c r="B178" s="30" t="s">
        <v>132</v>
      </c>
      <c r="C178" s="30" t="s">
        <v>133</v>
      </c>
      <c r="D178" s="32" t="s">
        <v>21</v>
      </c>
      <c r="E178" s="32">
        <f>850-E66</f>
        <v>602.39</v>
      </c>
      <c r="F178" s="70">
        <f t="shared" si="10"/>
        <v>84</v>
      </c>
      <c r="G178" s="70">
        <f t="shared" si="13"/>
        <v>50600.76</v>
      </c>
      <c r="H178" s="68" t="s">
        <v>15</v>
      </c>
      <c r="I178" s="79">
        <v>80</v>
      </c>
    </row>
    <row r="179" s="43" customFormat="1" ht="123.75" spans="1:9">
      <c r="A179" s="57">
        <v>16</v>
      </c>
      <c r="B179" s="30" t="s">
        <v>134</v>
      </c>
      <c r="C179" s="30" t="s">
        <v>135</v>
      </c>
      <c r="D179" s="32" t="s">
        <v>21</v>
      </c>
      <c r="E179" s="32">
        <f>7.7-E67</f>
        <v>6.7</v>
      </c>
      <c r="F179" s="70">
        <f t="shared" si="10"/>
        <v>136.5</v>
      </c>
      <c r="G179" s="70">
        <f t="shared" si="13"/>
        <v>914.55</v>
      </c>
      <c r="H179" s="68" t="s">
        <v>15</v>
      </c>
      <c r="I179" s="79">
        <v>130</v>
      </c>
    </row>
    <row r="180" s="43" customFormat="1" ht="123.75" spans="1:9">
      <c r="A180" s="57">
        <v>17</v>
      </c>
      <c r="B180" s="30" t="s">
        <v>136</v>
      </c>
      <c r="C180" s="30" t="s">
        <v>137</v>
      </c>
      <c r="D180" s="32" t="s">
        <v>21</v>
      </c>
      <c r="E180" s="32">
        <f>3.25-E68</f>
        <v>1.98</v>
      </c>
      <c r="F180" s="70">
        <f t="shared" si="10"/>
        <v>136.5</v>
      </c>
      <c r="G180" s="70">
        <f t="shared" si="13"/>
        <v>270.27</v>
      </c>
      <c r="H180" s="68" t="s">
        <v>15</v>
      </c>
      <c r="I180" s="79">
        <v>130</v>
      </c>
    </row>
    <row r="181" s="43" customFormat="1" ht="123.75" spans="1:9">
      <c r="A181" s="57">
        <v>18</v>
      </c>
      <c r="B181" s="30" t="s">
        <v>138</v>
      </c>
      <c r="C181" s="30" t="s">
        <v>139</v>
      </c>
      <c r="D181" s="32" t="s">
        <v>21</v>
      </c>
      <c r="E181" s="32">
        <f>23.81-E69</f>
        <v>22.81</v>
      </c>
      <c r="F181" s="70">
        <f t="shared" si="10"/>
        <v>136.5</v>
      </c>
      <c r="G181" s="70">
        <f t="shared" si="13"/>
        <v>3113.565</v>
      </c>
      <c r="H181" s="68" t="s">
        <v>15</v>
      </c>
      <c r="I181" s="79">
        <v>130</v>
      </c>
    </row>
    <row r="182" s="43" customFormat="1" ht="18" customHeight="1" spans="1:9">
      <c r="A182" s="57"/>
      <c r="B182" s="60" t="s">
        <v>148</v>
      </c>
      <c r="C182" s="59"/>
      <c r="D182" s="72"/>
      <c r="E182" s="73"/>
      <c r="F182" s="70"/>
      <c r="G182" s="70"/>
      <c r="H182" s="68"/>
      <c r="I182" s="79"/>
    </row>
    <row r="183" s="43" customFormat="1" ht="135" spans="1:9">
      <c r="A183" s="57">
        <v>1</v>
      </c>
      <c r="B183" s="30" t="s">
        <v>149</v>
      </c>
      <c r="C183" s="30" t="s">
        <v>242</v>
      </c>
      <c r="D183" s="32" t="s">
        <v>21</v>
      </c>
      <c r="E183" s="32">
        <f>91.13+23.23+31.64-E75</f>
        <v>14.15</v>
      </c>
      <c r="F183" s="70">
        <f t="shared" si="10"/>
        <v>52.5</v>
      </c>
      <c r="G183" s="70">
        <f t="shared" ref="G183:G206" si="14">F183*E183</f>
        <v>742.875</v>
      </c>
      <c r="H183" s="68" t="s">
        <v>15</v>
      </c>
      <c r="I183" s="79">
        <v>50</v>
      </c>
    </row>
    <row r="184" s="43" customFormat="1" ht="146.25" spans="1:9">
      <c r="A184" s="57">
        <v>2</v>
      </c>
      <c r="B184" s="30" t="s">
        <v>151</v>
      </c>
      <c r="C184" s="30" t="s">
        <v>152</v>
      </c>
      <c r="D184" s="32" t="s">
        <v>21</v>
      </c>
      <c r="E184" s="32">
        <f>5613.94-E76</f>
        <v>688.46</v>
      </c>
      <c r="F184" s="70">
        <f t="shared" si="10"/>
        <v>63</v>
      </c>
      <c r="G184" s="70">
        <f t="shared" si="14"/>
        <v>43372.98</v>
      </c>
      <c r="H184" s="68" t="s">
        <v>15</v>
      </c>
      <c r="I184" s="79">
        <v>60</v>
      </c>
    </row>
    <row r="185" s="43" customFormat="1" ht="168.75" spans="1:9">
      <c r="A185" s="57">
        <v>3</v>
      </c>
      <c r="B185" s="30" t="s">
        <v>153</v>
      </c>
      <c r="C185" s="30" t="s">
        <v>154</v>
      </c>
      <c r="D185" s="32" t="s">
        <v>21</v>
      </c>
      <c r="E185" s="32">
        <f>461.51-E77</f>
        <v>135.57</v>
      </c>
      <c r="F185" s="70">
        <f t="shared" si="10"/>
        <v>52.5</v>
      </c>
      <c r="G185" s="70">
        <f t="shared" si="14"/>
        <v>7117.425</v>
      </c>
      <c r="H185" s="68" t="s">
        <v>15</v>
      </c>
      <c r="I185" s="79">
        <v>50</v>
      </c>
    </row>
    <row r="186" s="43" customFormat="1" ht="135" spans="1:9">
      <c r="A186" s="57">
        <v>4</v>
      </c>
      <c r="B186" s="30" t="s">
        <v>155</v>
      </c>
      <c r="C186" s="30" t="s">
        <v>243</v>
      </c>
      <c r="D186" s="32" t="s">
        <v>21</v>
      </c>
      <c r="E186" s="32">
        <f>6432.47-E78</f>
        <v>1467.52</v>
      </c>
      <c r="F186" s="70">
        <f t="shared" si="10"/>
        <v>31.5</v>
      </c>
      <c r="G186" s="70">
        <f t="shared" si="14"/>
        <v>46226.88</v>
      </c>
      <c r="H186" s="68" t="s">
        <v>15</v>
      </c>
      <c r="I186" s="79">
        <v>30</v>
      </c>
    </row>
    <row r="187" s="43" customFormat="1" ht="146.25" spans="1:9">
      <c r="A187" s="57">
        <v>5</v>
      </c>
      <c r="B187" s="30" t="s">
        <v>157</v>
      </c>
      <c r="C187" s="30" t="s">
        <v>244</v>
      </c>
      <c r="D187" s="32" t="s">
        <v>21</v>
      </c>
      <c r="E187" s="32">
        <f>825.17-E79</f>
        <v>331.74</v>
      </c>
      <c r="F187" s="70">
        <f t="shared" si="10"/>
        <v>26.25</v>
      </c>
      <c r="G187" s="70">
        <f t="shared" si="14"/>
        <v>8708.175</v>
      </c>
      <c r="H187" s="68" t="s">
        <v>15</v>
      </c>
      <c r="I187" s="79">
        <v>25</v>
      </c>
    </row>
    <row r="188" s="43" customFormat="1" ht="146.25" spans="1:9">
      <c r="A188" s="57">
        <v>6</v>
      </c>
      <c r="B188" s="30" t="s">
        <v>159</v>
      </c>
      <c r="C188" s="30" t="s">
        <v>160</v>
      </c>
      <c r="D188" s="32" t="s">
        <v>21</v>
      </c>
      <c r="E188" s="32">
        <f>236.69-E80</f>
        <v>235.69</v>
      </c>
      <c r="F188" s="70">
        <f t="shared" si="10"/>
        <v>26.25</v>
      </c>
      <c r="G188" s="70">
        <f t="shared" si="14"/>
        <v>6186.8625</v>
      </c>
      <c r="H188" s="68" t="s">
        <v>15</v>
      </c>
      <c r="I188" s="79">
        <v>25</v>
      </c>
    </row>
    <row r="189" s="43" customFormat="1" ht="168.75" spans="1:9">
      <c r="A189" s="57">
        <v>7</v>
      </c>
      <c r="B189" s="30" t="s">
        <v>161</v>
      </c>
      <c r="C189" s="30" t="s">
        <v>162</v>
      </c>
      <c r="D189" s="32" t="s">
        <v>21</v>
      </c>
      <c r="E189" s="32">
        <f>590.31-E81</f>
        <v>106.74</v>
      </c>
      <c r="F189" s="70">
        <f t="shared" si="10"/>
        <v>36.75</v>
      </c>
      <c r="G189" s="70">
        <f t="shared" si="14"/>
        <v>3922.695</v>
      </c>
      <c r="H189" s="68" t="s">
        <v>15</v>
      </c>
      <c r="I189" s="79">
        <v>35</v>
      </c>
    </row>
    <row r="190" s="43" customFormat="1" ht="202.5" spans="1:9">
      <c r="A190" s="57">
        <v>8</v>
      </c>
      <c r="B190" s="30" t="s">
        <v>163</v>
      </c>
      <c r="C190" s="30" t="s">
        <v>164</v>
      </c>
      <c r="D190" s="32" t="s">
        <v>21</v>
      </c>
      <c r="E190" s="32">
        <v>1</v>
      </c>
      <c r="F190" s="70">
        <f t="shared" si="10"/>
        <v>105</v>
      </c>
      <c r="G190" s="70">
        <f t="shared" si="14"/>
        <v>105</v>
      </c>
      <c r="H190" s="68" t="s">
        <v>15</v>
      </c>
      <c r="I190" s="79">
        <v>100</v>
      </c>
    </row>
    <row r="191" s="43" customFormat="1" ht="191.25" spans="1:9">
      <c r="A191" s="57">
        <v>9</v>
      </c>
      <c r="B191" s="30" t="s">
        <v>165</v>
      </c>
      <c r="C191" s="30" t="s">
        <v>166</v>
      </c>
      <c r="D191" s="32" t="s">
        <v>21</v>
      </c>
      <c r="E191" s="32">
        <v>1</v>
      </c>
      <c r="F191" s="70">
        <f t="shared" si="10"/>
        <v>136.5</v>
      </c>
      <c r="G191" s="70">
        <f t="shared" si="14"/>
        <v>136.5</v>
      </c>
      <c r="H191" s="68" t="s">
        <v>15</v>
      </c>
      <c r="I191" s="79">
        <v>130</v>
      </c>
    </row>
    <row r="192" s="43" customFormat="1" ht="168.75" spans="1:9">
      <c r="A192" s="57">
        <v>10</v>
      </c>
      <c r="B192" s="30" t="s">
        <v>167</v>
      </c>
      <c r="C192" s="30" t="s">
        <v>245</v>
      </c>
      <c r="D192" s="32" t="s">
        <v>21</v>
      </c>
      <c r="E192" s="32">
        <f>87.26-E84</f>
        <v>56.82</v>
      </c>
      <c r="F192" s="70">
        <f t="shared" si="10"/>
        <v>168</v>
      </c>
      <c r="G192" s="70">
        <f t="shared" si="14"/>
        <v>9545.76</v>
      </c>
      <c r="H192" s="68" t="s">
        <v>15</v>
      </c>
      <c r="I192" s="79">
        <v>160</v>
      </c>
    </row>
    <row r="193" s="43" customFormat="1" ht="78.75" spans="1:9">
      <c r="A193" s="57">
        <v>11</v>
      </c>
      <c r="B193" s="30" t="s">
        <v>169</v>
      </c>
      <c r="C193" s="30" t="s">
        <v>170</v>
      </c>
      <c r="D193" s="32" t="s">
        <v>171</v>
      </c>
      <c r="E193" s="32">
        <v>1</v>
      </c>
      <c r="F193" s="70">
        <f t="shared" si="10"/>
        <v>4725</v>
      </c>
      <c r="G193" s="70">
        <f t="shared" si="14"/>
        <v>4725</v>
      </c>
      <c r="H193" s="68" t="s">
        <v>15</v>
      </c>
      <c r="I193" s="79">
        <v>4500</v>
      </c>
    </row>
    <row r="194" s="43" customFormat="1" ht="112.5" spans="1:9">
      <c r="A194" s="57">
        <v>12</v>
      </c>
      <c r="B194" s="30" t="s">
        <v>172</v>
      </c>
      <c r="C194" s="30" t="s">
        <v>173</v>
      </c>
      <c r="D194" s="32" t="s">
        <v>174</v>
      </c>
      <c r="E194" s="32">
        <f>200-E86</f>
        <v>120</v>
      </c>
      <c r="F194" s="70">
        <f t="shared" si="10"/>
        <v>42</v>
      </c>
      <c r="G194" s="70">
        <f t="shared" si="14"/>
        <v>5040</v>
      </c>
      <c r="H194" s="68" t="s">
        <v>15</v>
      </c>
      <c r="I194" s="79">
        <v>40</v>
      </c>
    </row>
    <row r="195" s="43" customFormat="1" ht="67.5" spans="1:9">
      <c r="A195" s="57">
        <v>13</v>
      </c>
      <c r="B195" s="30" t="s">
        <v>175</v>
      </c>
      <c r="C195" s="30" t="s">
        <v>176</v>
      </c>
      <c r="D195" s="32" t="s">
        <v>42</v>
      </c>
      <c r="E195" s="32">
        <f>729.61-E87</f>
        <v>109.34</v>
      </c>
      <c r="F195" s="70">
        <f t="shared" si="10"/>
        <v>21</v>
      </c>
      <c r="G195" s="70">
        <f t="shared" si="14"/>
        <v>2296.14</v>
      </c>
      <c r="H195" s="68" t="s">
        <v>15</v>
      </c>
      <c r="I195" s="79">
        <v>20</v>
      </c>
    </row>
    <row r="196" s="43" customFormat="1" ht="67.5" spans="1:9">
      <c r="A196" s="57">
        <v>14</v>
      </c>
      <c r="B196" s="30" t="s">
        <v>177</v>
      </c>
      <c r="C196" s="30" t="s">
        <v>178</v>
      </c>
      <c r="D196" s="32" t="s">
        <v>42</v>
      </c>
      <c r="E196" s="32">
        <f>60.17-E88</f>
        <v>46.04</v>
      </c>
      <c r="F196" s="70">
        <f t="shared" si="10"/>
        <v>21</v>
      </c>
      <c r="G196" s="70">
        <f t="shared" si="14"/>
        <v>966.84</v>
      </c>
      <c r="H196" s="68" t="s">
        <v>15</v>
      </c>
      <c r="I196" s="79">
        <v>20</v>
      </c>
    </row>
    <row r="197" s="43" customFormat="1" ht="67.5" spans="1:9">
      <c r="A197" s="57">
        <v>15</v>
      </c>
      <c r="B197" s="30" t="s">
        <v>179</v>
      </c>
      <c r="C197" s="30" t="s">
        <v>180</v>
      </c>
      <c r="D197" s="32" t="s">
        <v>42</v>
      </c>
      <c r="E197" s="32">
        <v>1</v>
      </c>
      <c r="F197" s="70">
        <f t="shared" si="10"/>
        <v>21</v>
      </c>
      <c r="G197" s="70">
        <f t="shared" si="14"/>
        <v>21</v>
      </c>
      <c r="H197" s="68" t="s">
        <v>15</v>
      </c>
      <c r="I197" s="79">
        <v>20</v>
      </c>
    </row>
    <row r="198" s="43" customFormat="1" ht="67.5" spans="1:9">
      <c r="A198" s="57">
        <v>16</v>
      </c>
      <c r="B198" s="30" t="s">
        <v>181</v>
      </c>
      <c r="C198" s="30" t="s">
        <v>182</v>
      </c>
      <c r="D198" s="32" t="s">
        <v>42</v>
      </c>
      <c r="E198" s="32">
        <f>364.77-E90</f>
        <v>68.87</v>
      </c>
      <c r="F198" s="70">
        <f t="shared" ref="F198:F261" si="15">I198*1.05</f>
        <v>21</v>
      </c>
      <c r="G198" s="70">
        <f t="shared" si="14"/>
        <v>1446.27</v>
      </c>
      <c r="H198" s="68" t="s">
        <v>15</v>
      </c>
      <c r="I198" s="79">
        <v>20</v>
      </c>
    </row>
    <row r="199" s="43" customFormat="1" ht="67.5" spans="1:9">
      <c r="A199" s="57">
        <v>17</v>
      </c>
      <c r="B199" s="30" t="s">
        <v>183</v>
      </c>
      <c r="C199" s="30" t="s">
        <v>184</v>
      </c>
      <c r="D199" s="32" t="s">
        <v>42</v>
      </c>
      <c r="E199" s="32">
        <f>391.17-E91</f>
        <v>35.25</v>
      </c>
      <c r="F199" s="70">
        <f t="shared" si="15"/>
        <v>21</v>
      </c>
      <c r="G199" s="70">
        <f t="shared" si="14"/>
        <v>740.25</v>
      </c>
      <c r="H199" s="68" t="s">
        <v>15</v>
      </c>
      <c r="I199" s="79">
        <v>20</v>
      </c>
    </row>
    <row r="200" s="43" customFormat="1" ht="67.5" spans="1:9">
      <c r="A200" s="57">
        <v>18</v>
      </c>
      <c r="B200" s="30" t="s">
        <v>185</v>
      </c>
      <c r="C200" s="30" t="s">
        <v>186</v>
      </c>
      <c r="D200" s="32" t="s">
        <v>42</v>
      </c>
      <c r="E200" s="32">
        <v>1</v>
      </c>
      <c r="F200" s="70">
        <f t="shared" si="15"/>
        <v>21</v>
      </c>
      <c r="G200" s="70">
        <f t="shared" si="14"/>
        <v>21</v>
      </c>
      <c r="H200" s="68" t="s">
        <v>15</v>
      </c>
      <c r="I200" s="79">
        <v>20</v>
      </c>
    </row>
    <row r="201" s="43" customFormat="1" ht="67.5" spans="1:9">
      <c r="A201" s="57">
        <v>19</v>
      </c>
      <c r="B201" s="30" t="s">
        <v>187</v>
      </c>
      <c r="C201" s="30" t="s">
        <v>188</v>
      </c>
      <c r="D201" s="32" t="s">
        <v>42</v>
      </c>
      <c r="E201" s="32">
        <f>70.07-E93</f>
        <v>13.29</v>
      </c>
      <c r="F201" s="70">
        <f t="shared" si="15"/>
        <v>10.5</v>
      </c>
      <c r="G201" s="70">
        <f t="shared" si="14"/>
        <v>139.545</v>
      </c>
      <c r="H201" s="68" t="s">
        <v>15</v>
      </c>
      <c r="I201" s="79">
        <v>10</v>
      </c>
    </row>
    <row r="202" s="43" customFormat="1" ht="67.5" spans="1:9">
      <c r="A202" s="57">
        <v>20</v>
      </c>
      <c r="B202" s="30" t="s">
        <v>189</v>
      </c>
      <c r="C202" s="30" t="s">
        <v>190</v>
      </c>
      <c r="D202" s="32" t="s">
        <v>42</v>
      </c>
      <c r="E202" s="32">
        <v>1</v>
      </c>
      <c r="F202" s="70">
        <f t="shared" si="15"/>
        <v>10.5</v>
      </c>
      <c r="G202" s="70">
        <f t="shared" si="14"/>
        <v>10.5</v>
      </c>
      <c r="H202" s="68" t="s">
        <v>15</v>
      </c>
      <c r="I202" s="79">
        <v>10</v>
      </c>
    </row>
    <row r="203" s="43" customFormat="1" ht="78.75" spans="1:9">
      <c r="A203" s="57">
        <v>21</v>
      </c>
      <c r="B203" s="30" t="s">
        <v>191</v>
      </c>
      <c r="C203" s="30" t="s">
        <v>192</v>
      </c>
      <c r="D203" s="32" t="s">
        <v>42</v>
      </c>
      <c r="E203" s="32">
        <v>1</v>
      </c>
      <c r="F203" s="70">
        <f t="shared" si="15"/>
        <v>10.5</v>
      </c>
      <c r="G203" s="70">
        <f t="shared" si="14"/>
        <v>10.5</v>
      </c>
      <c r="H203" s="68" t="s">
        <v>15</v>
      </c>
      <c r="I203" s="79">
        <v>10</v>
      </c>
    </row>
    <row r="204" s="43" customFormat="1" ht="112.5" spans="1:9">
      <c r="A204" s="57">
        <v>22</v>
      </c>
      <c r="B204" s="30" t="s">
        <v>193</v>
      </c>
      <c r="C204" s="30" t="s">
        <v>194</v>
      </c>
      <c r="D204" s="32" t="s">
        <v>21</v>
      </c>
      <c r="E204" s="32">
        <f>77.2-E96</f>
        <v>37.19</v>
      </c>
      <c r="F204" s="70">
        <f t="shared" si="15"/>
        <v>136.5</v>
      </c>
      <c r="G204" s="70">
        <f t="shared" si="14"/>
        <v>5076.435</v>
      </c>
      <c r="H204" s="68" t="s">
        <v>15</v>
      </c>
      <c r="I204" s="79">
        <v>130</v>
      </c>
    </row>
    <row r="205" s="43" customFormat="1" ht="45" spans="1:9">
      <c r="A205" s="57">
        <v>23</v>
      </c>
      <c r="B205" s="30" t="s">
        <v>195</v>
      </c>
      <c r="C205" s="30" t="s">
        <v>196</v>
      </c>
      <c r="D205" s="32" t="s">
        <v>174</v>
      </c>
      <c r="E205" s="32">
        <f>804-E97</f>
        <v>344</v>
      </c>
      <c r="F205" s="70">
        <f t="shared" si="15"/>
        <v>10.5</v>
      </c>
      <c r="G205" s="70">
        <f t="shared" si="14"/>
        <v>3612</v>
      </c>
      <c r="H205" s="68" t="s">
        <v>15</v>
      </c>
      <c r="I205" s="79">
        <v>10</v>
      </c>
    </row>
    <row r="206" s="43" customFormat="1" ht="45" spans="1:9">
      <c r="A206" s="57">
        <v>24</v>
      </c>
      <c r="B206" s="30" t="s">
        <v>197</v>
      </c>
      <c r="C206" s="30" t="s">
        <v>196</v>
      </c>
      <c r="D206" s="32" t="s">
        <v>174</v>
      </c>
      <c r="E206" s="32">
        <f>1155-E98</f>
        <v>405</v>
      </c>
      <c r="F206" s="70">
        <f t="shared" si="15"/>
        <v>5.25</v>
      </c>
      <c r="G206" s="70">
        <f t="shared" si="14"/>
        <v>2126.25</v>
      </c>
      <c r="H206" s="68" t="s">
        <v>15</v>
      </c>
      <c r="I206" s="79">
        <v>5</v>
      </c>
    </row>
    <row r="207" s="43" customFormat="1" ht="30" customHeight="1" spans="1:9">
      <c r="A207" s="57"/>
      <c r="B207" s="65" t="s">
        <v>198</v>
      </c>
      <c r="C207" s="59"/>
      <c r="D207" s="72"/>
      <c r="E207" s="73"/>
      <c r="F207" s="70"/>
      <c r="G207" s="70"/>
      <c r="H207" s="68"/>
      <c r="I207" s="79"/>
    </row>
    <row r="208" s="43" customFormat="1" ht="123.75" spans="1:9">
      <c r="A208" s="57">
        <v>1</v>
      </c>
      <c r="B208" s="30" t="s">
        <v>199</v>
      </c>
      <c r="C208" s="30" t="s">
        <v>246</v>
      </c>
      <c r="D208" s="32" t="s">
        <v>21</v>
      </c>
      <c r="E208" s="32">
        <f>11306.46-3163.69-E100</f>
        <v>2859.94</v>
      </c>
      <c r="F208" s="70">
        <f t="shared" si="15"/>
        <v>26.25</v>
      </c>
      <c r="G208" s="70">
        <f t="shared" ref="G208:G215" si="16">F208*E208</f>
        <v>75073.425</v>
      </c>
      <c r="H208" s="68" t="s">
        <v>15</v>
      </c>
      <c r="I208" s="79">
        <v>25</v>
      </c>
    </row>
    <row r="209" s="43" customFormat="1" ht="112.5" spans="1:9">
      <c r="A209" s="57">
        <v>2</v>
      </c>
      <c r="B209" s="30" t="s">
        <v>201</v>
      </c>
      <c r="C209" s="30" t="s">
        <v>200</v>
      </c>
      <c r="D209" s="32" t="s">
        <v>21</v>
      </c>
      <c r="E209" s="32">
        <f>3163.69-E101</f>
        <v>1345.68</v>
      </c>
      <c r="F209" s="70">
        <f t="shared" si="15"/>
        <v>26.25</v>
      </c>
      <c r="G209" s="70">
        <f t="shared" si="16"/>
        <v>35324.1</v>
      </c>
      <c r="H209" s="68" t="s">
        <v>15</v>
      </c>
      <c r="I209" s="79">
        <v>25</v>
      </c>
    </row>
    <row r="210" s="43" customFormat="1" ht="112.5" spans="1:9">
      <c r="A210" s="57">
        <v>3</v>
      </c>
      <c r="B210" s="30" t="s">
        <v>202</v>
      </c>
      <c r="C210" s="30" t="s">
        <v>203</v>
      </c>
      <c r="D210" s="32" t="s">
        <v>21</v>
      </c>
      <c r="E210" s="32">
        <f>458.82-E102</f>
        <v>39.36</v>
      </c>
      <c r="F210" s="70">
        <f t="shared" si="15"/>
        <v>26.25</v>
      </c>
      <c r="G210" s="70">
        <f t="shared" si="16"/>
        <v>1033.2</v>
      </c>
      <c r="H210" s="68" t="s">
        <v>15</v>
      </c>
      <c r="I210" s="79">
        <v>25</v>
      </c>
    </row>
    <row r="211" s="43" customFormat="1" ht="112.5" spans="1:9">
      <c r="A211" s="57">
        <v>4</v>
      </c>
      <c r="B211" s="30" t="s">
        <v>247</v>
      </c>
      <c r="C211" s="30" t="s">
        <v>205</v>
      </c>
      <c r="D211" s="32" t="s">
        <v>21</v>
      </c>
      <c r="E211" s="32">
        <f>17785.78-E103</f>
        <v>6573.97</v>
      </c>
      <c r="F211" s="70">
        <f t="shared" si="15"/>
        <v>26.25</v>
      </c>
      <c r="G211" s="70">
        <f t="shared" si="16"/>
        <v>172566.7125</v>
      </c>
      <c r="H211" s="68" t="s">
        <v>15</v>
      </c>
      <c r="I211" s="79">
        <v>25</v>
      </c>
    </row>
    <row r="212" s="43" customFormat="1" ht="112.5" spans="1:9">
      <c r="A212" s="57">
        <v>5</v>
      </c>
      <c r="B212" s="30" t="s">
        <v>206</v>
      </c>
      <c r="C212" s="30" t="s">
        <v>207</v>
      </c>
      <c r="D212" s="32" t="s">
        <v>21</v>
      </c>
      <c r="E212" s="32">
        <f>202.63-E104</f>
        <v>39.88</v>
      </c>
      <c r="F212" s="70">
        <f t="shared" si="15"/>
        <v>26.25</v>
      </c>
      <c r="G212" s="70">
        <f t="shared" si="16"/>
        <v>1046.85</v>
      </c>
      <c r="H212" s="68" t="s">
        <v>15</v>
      </c>
      <c r="I212" s="79">
        <v>25</v>
      </c>
    </row>
    <row r="213" s="43" customFormat="1" ht="101.25" spans="1:9">
      <c r="A213" s="57">
        <v>6</v>
      </c>
      <c r="B213" s="30" t="s">
        <v>208</v>
      </c>
      <c r="C213" s="30" t="s">
        <v>209</v>
      </c>
      <c r="D213" s="32" t="s">
        <v>21</v>
      </c>
      <c r="E213" s="32">
        <f>213-E105</f>
        <v>67.58</v>
      </c>
      <c r="F213" s="70">
        <f t="shared" si="15"/>
        <v>26.25</v>
      </c>
      <c r="G213" s="70">
        <f t="shared" si="16"/>
        <v>1773.975</v>
      </c>
      <c r="H213" s="68" t="s">
        <v>15</v>
      </c>
      <c r="I213" s="79">
        <v>25</v>
      </c>
    </row>
    <row r="214" s="43" customFormat="1" ht="101.25" spans="1:9">
      <c r="A214" s="57">
        <v>7</v>
      </c>
      <c r="B214" s="30" t="s">
        <v>210</v>
      </c>
      <c r="C214" s="30" t="s">
        <v>211</v>
      </c>
      <c r="D214" s="32" t="s">
        <v>21</v>
      </c>
      <c r="E214" s="32">
        <f>3821.96-E106</f>
        <v>1117.38</v>
      </c>
      <c r="F214" s="70">
        <f t="shared" si="15"/>
        <v>26.25</v>
      </c>
      <c r="G214" s="70">
        <f t="shared" si="16"/>
        <v>29331.225</v>
      </c>
      <c r="H214" s="68" t="s">
        <v>15</v>
      </c>
      <c r="I214" s="79">
        <v>25</v>
      </c>
    </row>
    <row r="215" s="43" customFormat="1" ht="101.25" spans="1:9">
      <c r="A215" s="57">
        <v>8</v>
      </c>
      <c r="B215" s="30" t="s">
        <v>212</v>
      </c>
      <c r="C215" s="30" t="s">
        <v>213</v>
      </c>
      <c r="D215" s="32" t="s">
        <v>21</v>
      </c>
      <c r="E215" s="32">
        <f>48.78-E107</f>
        <v>47.78</v>
      </c>
      <c r="F215" s="70">
        <f t="shared" si="15"/>
        <v>15.75</v>
      </c>
      <c r="G215" s="70">
        <f t="shared" si="16"/>
        <v>752.535</v>
      </c>
      <c r="H215" s="68" t="s">
        <v>15</v>
      </c>
      <c r="I215" s="79">
        <v>15</v>
      </c>
    </row>
    <row r="216" s="43" customFormat="1" ht="23" customHeight="1" spans="1:9">
      <c r="A216" s="57"/>
      <c r="B216" s="65" t="s">
        <v>214</v>
      </c>
      <c r="C216" s="71"/>
      <c r="D216" s="72"/>
      <c r="E216" s="73"/>
      <c r="F216" s="70"/>
      <c r="G216" s="70"/>
      <c r="H216" s="68"/>
      <c r="I216" s="79"/>
    </row>
    <row r="217" s="43" customFormat="1" ht="56.25" spans="1:9">
      <c r="A217" s="57">
        <v>1</v>
      </c>
      <c r="B217" s="30" t="s">
        <v>215</v>
      </c>
      <c r="C217" s="30" t="s">
        <v>216</v>
      </c>
      <c r="D217" s="32" t="s">
        <v>42</v>
      </c>
      <c r="E217" s="32">
        <f>88.5-E109</f>
        <v>27.25</v>
      </c>
      <c r="F217" s="70">
        <f t="shared" si="15"/>
        <v>10.5</v>
      </c>
      <c r="G217" s="70">
        <f t="shared" ref="G217:G224" si="17">F217*E217</f>
        <v>286.125</v>
      </c>
      <c r="H217" s="68" t="s">
        <v>15</v>
      </c>
      <c r="I217" s="79">
        <v>10</v>
      </c>
    </row>
    <row r="218" s="43" customFormat="1" ht="101.25" spans="1:9">
      <c r="A218" s="57">
        <v>2</v>
      </c>
      <c r="B218" s="30" t="s">
        <v>217</v>
      </c>
      <c r="C218" s="30" t="s">
        <v>218</v>
      </c>
      <c r="D218" s="32" t="s">
        <v>42</v>
      </c>
      <c r="E218" s="32">
        <f>52.03-E110</f>
        <v>10.2</v>
      </c>
      <c r="F218" s="70">
        <f t="shared" si="15"/>
        <v>252</v>
      </c>
      <c r="G218" s="70">
        <f t="shared" si="17"/>
        <v>2570.4</v>
      </c>
      <c r="H218" s="68" t="s">
        <v>15</v>
      </c>
      <c r="I218" s="79">
        <v>240</v>
      </c>
    </row>
    <row r="219" s="43" customFormat="1" ht="101.25" spans="1:9">
      <c r="A219" s="57">
        <v>3</v>
      </c>
      <c r="B219" s="30" t="s">
        <v>219</v>
      </c>
      <c r="C219" s="30" t="s">
        <v>220</v>
      </c>
      <c r="D219" s="32" t="s">
        <v>21</v>
      </c>
      <c r="E219" s="32">
        <f>62.44-E111</f>
        <v>12.24</v>
      </c>
      <c r="F219" s="70">
        <f t="shared" si="15"/>
        <v>126</v>
      </c>
      <c r="G219" s="70">
        <f t="shared" si="17"/>
        <v>1542.24</v>
      </c>
      <c r="H219" s="68" t="s">
        <v>15</v>
      </c>
      <c r="I219" s="79">
        <v>120</v>
      </c>
    </row>
    <row r="220" s="43" customFormat="1" ht="123.75" spans="1:9">
      <c r="A220" s="57">
        <v>4</v>
      </c>
      <c r="B220" s="30" t="s">
        <v>221</v>
      </c>
      <c r="C220" s="30" t="s">
        <v>222</v>
      </c>
      <c r="D220" s="32" t="s">
        <v>42</v>
      </c>
      <c r="E220" s="32">
        <f>39.2-E112</f>
        <v>14</v>
      </c>
      <c r="F220" s="70">
        <f t="shared" si="15"/>
        <v>252</v>
      </c>
      <c r="G220" s="70">
        <f t="shared" si="17"/>
        <v>3528</v>
      </c>
      <c r="H220" s="68" t="s">
        <v>15</v>
      </c>
      <c r="I220" s="79">
        <v>240</v>
      </c>
    </row>
    <row r="221" s="43" customFormat="1" ht="56.25" spans="1:9">
      <c r="A221" s="57">
        <v>5</v>
      </c>
      <c r="B221" s="30" t="s">
        <v>223</v>
      </c>
      <c r="C221" s="30" t="s">
        <v>224</v>
      </c>
      <c r="D221" s="32" t="s">
        <v>174</v>
      </c>
      <c r="E221" s="32">
        <f>2-E113</f>
        <v>1</v>
      </c>
      <c r="F221" s="70">
        <f t="shared" si="15"/>
        <v>31.5</v>
      </c>
      <c r="G221" s="70">
        <f t="shared" si="17"/>
        <v>31.5</v>
      </c>
      <c r="H221" s="68" t="s">
        <v>15</v>
      </c>
      <c r="I221" s="79">
        <v>30</v>
      </c>
    </row>
    <row r="222" s="43" customFormat="1" ht="56.25" spans="1:9">
      <c r="A222" s="57">
        <v>6</v>
      </c>
      <c r="B222" s="30" t="s">
        <v>225</v>
      </c>
      <c r="C222" s="30" t="s">
        <v>226</v>
      </c>
      <c r="D222" s="32" t="s">
        <v>174</v>
      </c>
      <c r="E222" s="32">
        <f>2-E114</f>
        <v>1</v>
      </c>
      <c r="F222" s="70">
        <f t="shared" si="15"/>
        <v>31.5</v>
      </c>
      <c r="G222" s="70">
        <f t="shared" si="17"/>
        <v>31.5</v>
      </c>
      <c r="H222" s="68" t="s">
        <v>15</v>
      </c>
      <c r="I222" s="79">
        <v>30</v>
      </c>
    </row>
    <row r="223" s="43" customFormat="1" ht="135" spans="1:9">
      <c r="A223" s="57">
        <v>7</v>
      </c>
      <c r="B223" s="30" t="s">
        <v>227</v>
      </c>
      <c r="C223" s="30" t="s">
        <v>228</v>
      </c>
      <c r="D223" s="32" t="s">
        <v>42</v>
      </c>
      <c r="E223" s="32">
        <v>1</v>
      </c>
      <c r="F223" s="70">
        <f t="shared" si="15"/>
        <v>84</v>
      </c>
      <c r="G223" s="70">
        <f t="shared" si="17"/>
        <v>84</v>
      </c>
      <c r="H223" s="68" t="s">
        <v>15</v>
      </c>
      <c r="I223" s="79">
        <v>80</v>
      </c>
    </row>
    <row r="224" s="43" customFormat="1" ht="157.5" spans="1:9">
      <c r="A224" s="57">
        <v>8</v>
      </c>
      <c r="B224" s="30" t="s">
        <v>229</v>
      </c>
      <c r="C224" s="30" t="s">
        <v>230</v>
      </c>
      <c r="D224" s="32" t="s">
        <v>42</v>
      </c>
      <c r="E224" s="32">
        <f>10.12-E116</f>
        <v>9.12</v>
      </c>
      <c r="F224" s="70">
        <f t="shared" si="15"/>
        <v>1575</v>
      </c>
      <c r="G224" s="70">
        <f t="shared" si="17"/>
        <v>14364</v>
      </c>
      <c r="H224" s="68" t="s">
        <v>15</v>
      </c>
      <c r="I224" s="79">
        <v>1500</v>
      </c>
    </row>
    <row r="225" s="42" customFormat="1" ht="17" customHeight="1" spans="1:9">
      <c r="A225" s="84" t="s">
        <v>248</v>
      </c>
      <c r="B225" s="65" t="s">
        <v>249</v>
      </c>
      <c r="C225" s="59"/>
      <c r="D225" s="60"/>
      <c r="E225" s="85"/>
      <c r="F225" s="70"/>
      <c r="G225" s="82">
        <f>SUM(G226:G229)</f>
        <v>309823.5</v>
      </c>
      <c r="H225" s="64"/>
      <c r="I225" s="88"/>
    </row>
    <row r="226" s="43" customFormat="1" ht="180" spans="1:9">
      <c r="A226" s="57">
        <v>1</v>
      </c>
      <c r="B226" s="30" t="s">
        <v>250</v>
      </c>
      <c r="C226" s="30" t="s">
        <v>251</v>
      </c>
      <c r="D226" s="32" t="s">
        <v>21</v>
      </c>
      <c r="E226" s="32">
        <v>390</v>
      </c>
      <c r="F226" s="70">
        <f t="shared" si="15"/>
        <v>21</v>
      </c>
      <c r="G226" s="70">
        <f t="shared" ref="G226:G229" si="18">F226*E226</f>
        <v>8190</v>
      </c>
      <c r="H226" s="68" t="s">
        <v>15</v>
      </c>
      <c r="I226" s="79">
        <v>20</v>
      </c>
    </row>
    <row r="227" s="43" customFormat="1" ht="90" spans="1:9">
      <c r="A227" s="75">
        <v>2</v>
      </c>
      <c r="B227" s="30" t="s">
        <v>252</v>
      </c>
      <c r="C227" s="30" t="s">
        <v>253</v>
      </c>
      <c r="D227" s="32" t="s">
        <v>21</v>
      </c>
      <c r="E227" s="32">
        <v>10004.8</v>
      </c>
      <c r="F227" s="70">
        <f t="shared" si="15"/>
        <v>26.25</v>
      </c>
      <c r="G227" s="70">
        <f t="shared" si="18"/>
        <v>262626</v>
      </c>
      <c r="H227" s="68" t="s">
        <v>15</v>
      </c>
      <c r="I227" s="79">
        <v>25</v>
      </c>
    </row>
    <row r="228" s="43" customFormat="1" ht="90" spans="1:9">
      <c r="A228" s="57">
        <v>3</v>
      </c>
      <c r="B228" s="30" t="s">
        <v>254</v>
      </c>
      <c r="C228" s="30" t="s">
        <v>253</v>
      </c>
      <c r="D228" s="32" t="s">
        <v>21</v>
      </c>
      <c r="E228" s="32">
        <v>1095</v>
      </c>
      <c r="F228" s="70">
        <f t="shared" si="15"/>
        <v>26.25</v>
      </c>
      <c r="G228" s="70">
        <f t="shared" si="18"/>
        <v>28743.75</v>
      </c>
      <c r="H228" s="68" t="s">
        <v>15</v>
      </c>
      <c r="I228" s="79">
        <v>25</v>
      </c>
    </row>
    <row r="229" s="43" customFormat="1" ht="90" spans="1:9">
      <c r="A229" s="57">
        <v>4</v>
      </c>
      <c r="B229" s="30" t="s">
        <v>255</v>
      </c>
      <c r="C229" s="30" t="s">
        <v>253</v>
      </c>
      <c r="D229" s="32" t="s">
        <v>21</v>
      </c>
      <c r="E229" s="32">
        <v>391</v>
      </c>
      <c r="F229" s="70">
        <f t="shared" si="15"/>
        <v>26.25</v>
      </c>
      <c r="G229" s="70">
        <f t="shared" si="18"/>
        <v>10263.75</v>
      </c>
      <c r="H229" s="68" t="s">
        <v>15</v>
      </c>
      <c r="I229" s="79">
        <v>25</v>
      </c>
    </row>
    <row r="230" s="42" customFormat="1" ht="19" customHeight="1" spans="1:9">
      <c r="A230" s="84" t="s">
        <v>256</v>
      </c>
      <c r="B230" s="65" t="s">
        <v>257</v>
      </c>
      <c r="C230" s="59"/>
      <c r="D230" s="60"/>
      <c r="E230" s="61"/>
      <c r="F230" s="70"/>
      <c r="G230" s="82">
        <f>SUM(G231:G275)</f>
        <v>336605.9836125</v>
      </c>
      <c r="H230" s="64"/>
      <c r="I230" s="89"/>
    </row>
    <row r="231" s="43" customFormat="1" ht="56.25" spans="1:9">
      <c r="A231" s="57">
        <v>1</v>
      </c>
      <c r="B231" s="30" t="s">
        <v>258</v>
      </c>
      <c r="C231" s="30" t="s">
        <v>259</v>
      </c>
      <c r="D231" s="32" t="s">
        <v>260</v>
      </c>
      <c r="E231" s="86">
        <v>58</v>
      </c>
      <c r="F231" s="70">
        <f t="shared" si="15"/>
        <v>10.5</v>
      </c>
      <c r="G231" s="70">
        <f t="shared" ref="G231:G275" si="19">F231*E231</f>
        <v>609</v>
      </c>
      <c r="H231" s="68" t="s">
        <v>15</v>
      </c>
      <c r="I231" s="79">
        <v>10</v>
      </c>
    </row>
    <row r="232" s="43" customFormat="1" ht="56.25" spans="1:9">
      <c r="A232" s="57">
        <v>2</v>
      </c>
      <c r="B232" s="30" t="s">
        <v>261</v>
      </c>
      <c r="C232" s="30" t="s">
        <v>262</v>
      </c>
      <c r="D232" s="32" t="s">
        <v>260</v>
      </c>
      <c r="E232" s="86">
        <v>87</v>
      </c>
      <c r="F232" s="70">
        <f t="shared" si="15"/>
        <v>10.5</v>
      </c>
      <c r="G232" s="70">
        <f t="shared" si="19"/>
        <v>913.5</v>
      </c>
      <c r="H232" s="68" t="s">
        <v>15</v>
      </c>
      <c r="I232" s="79">
        <v>10</v>
      </c>
    </row>
    <row r="233" s="43" customFormat="1" ht="56.25" spans="1:9">
      <c r="A233" s="57">
        <v>3</v>
      </c>
      <c r="B233" s="30" t="s">
        <v>263</v>
      </c>
      <c r="C233" s="30" t="s">
        <v>264</v>
      </c>
      <c r="D233" s="32" t="s">
        <v>260</v>
      </c>
      <c r="E233" s="86">
        <v>155</v>
      </c>
      <c r="F233" s="70">
        <f t="shared" si="15"/>
        <v>10.5</v>
      </c>
      <c r="G233" s="70">
        <f t="shared" si="19"/>
        <v>1627.5</v>
      </c>
      <c r="H233" s="68" t="s">
        <v>15</v>
      </c>
      <c r="I233" s="79">
        <v>10</v>
      </c>
    </row>
    <row r="234" s="43" customFormat="1" ht="56.25" spans="1:9">
      <c r="A234" s="57">
        <v>4</v>
      </c>
      <c r="B234" s="30" t="s">
        <v>265</v>
      </c>
      <c r="C234" s="30" t="s">
        <v>266</v>
      </c>
      <c r="D234" s="32" t="s">
        <v>260</v>
      </c>
      <c r="E234" s="86">
        <v>18</v>
      </c>
      <c r="F234" s="70">
        <f t="shared" si="15"/>
        <v>10.5</v>
      </c>
      <c r="G234" s="70">
        <f t="shared" si="19"/>
        <v>189</v>
      </c>
      <c r="H234" s="68" t="s">
        <v>15</v>
      </c>
      <c r="I234" s="79">
        <v>10</v>
      </c>
    </row>
    <row r="235" s="43" customFormat="1" ht="56.25" spans="1:9">
      <c r="A235" s="57">
        <v>5</v>
      </c>
      <c r="B235" s="30" t="s">
        <v>267</v>
      </c>
      <c r="C235" s="30" t="s">
        <v>268</v>
      </c>
      <c r="D235" s="32" t="s">
        <v>260</v>
      </c>
      <c r="E235" s="86">
        <v>467</v>
      </c>
      <c r="F235" s="70">
        <f t="shared" si="15"/>
        <v>10.5</v>
      </c>
      <c r="G235" s="70">
        <f t="shared" si="19"/>
        <v>4903.5</v>
      </c>
      <c r="H235" s="68" t="s">
        <v>15</v>
      </c>
      <c r="I235" s="79">
        <v>10</v>
      </c>
    </row>
    <row r="236" s="43" customFormat="1" ht="56.25" spans="1:9">
      <c r="A236" s="57">
        <v>6</v>
      </c>
      <c r="B236" s="30" t="s">
        <v>269</v>
      </c>
      <c r="C236" s="30" t="s">
        <v>270</v>
      </c>
      <c r="D236" s="32" t="s">
        <v>260</v>
      </c>
      <c r="E236" s="86">
        <v>98</v>
      </c>
      <c r="F236" s="70">
        <f t="shared" si="15"/>
        <v>10.5</v>
      </c>
      <c r="G236" s="70">
        <f t="shared" si="19"/>
        <v>1029</v>
      </c>
      <c r="H236" s="68" t="s">
        <v>15</v>
      </c>
      <c r="I236" s="79">
        <v>10</v>
      </c>
    </row>
    <row r="237" s="43" customFormat="1" ht="56.25" spans="1:9">
      <c r="A237" s="57">
        <v>7</v>
      </c>
      <c r="B237" s="30" t="s">
        <v>271</v>
      </c>
      <c r="C237" s="30" t="s">
        <v>272</v>
      </c>
      <c r="D237" s="32" t="s">
        <v>260</v>
      </c>
      <c r="E237" s="86">
        <v>68</v>
      </c>
      <c r="F237" s="70">
        <f t="shared" si="15"/>
        <v>10.5</v>
      </c>
      <c r="G237" s="70">
        <f t="shared" si="19"/>
        <v>714</v>
      </c>
      <c r="H237" s="68" t="s">
        <v>15</v>
      </c>
      <c r="I237" s="79">
        <v>10</v>
      </c>
    </row>
    <row r="238" s="43" customFormat="1" ht="56.25" spans="1:9">
      <c r="A238" s="57">
        <v>8</v>
      </c>
      <c r="B238" s="30" t="s">
        <v>273</v>
      </c>
      <c r="C238" s="30" t="s">
        <v>274</v>
      </c>
      <c r="D238" s="32" t="s">
        <v>260</v>
      </c>
      <c r="E238" s="86">
        <v>21</v>
      </c>
      <c r="F238" s="70">
        <f t="shared" si="15"/>
        <v>31.5</v>
      </c>
      <c r="G238" s="70">
        <f t="shared" si="19"/>
        <v>661.5</v>
      </c>
      <c r="H238" s="68" t="s">
        <v>15</v>
      </c>
      <c r="I238" s="79">
        <v>30</v>
      </c>
    </row>
    <row r="239" s="43" customFormat="1" ht="56.25" spans="1:9">
      <c r="A239" s="57">
        <v>9</v>
      </c>
      <c r="B239" s="30" t="s">
        <v>275</v>
      </c>
      <c r="C239" s="30" t="s">
        <v>276</v>
      </c>
      <c r="D239" s="32" t="s">
        <v>260</v>
      </c>
      <c r="E239" s="86">
        <v>18</v>
      </c>
      <c r="F239" s="70">
        <f t="shared" si="15"/>
        <v>10.5</v>
      </c>
      <c r="G239" s="70">
        <f t="shared" si="19"/>
        <v>189</v>
      </c>
      <c r="H239" s="68" t="s">
        <v>15</v>
      </c>
      <c r="I239" s="79">
        <v>10</v>
      </c>
    </row>
    <row r="240" s="43" customFormat="1" ht="56.25" spans="1:9">
      <c r="A240" s="57">
        <v>10</v>
      </c>
      <c r="B240" s="30" t="s">
        <v>277</v>
      </c>
      <c r="C240" s="30" t="s">
        <v>278</v>
      </c>
      <c r="D240" s="32" t="s">
        <v>42</v>
      </c>
      <c r="E240" s="87">
        <v>1033.637</v>
      </c>
      <c r="F240" s="70">
        <f t="shared" si="15"/>
        <v>12.6</v>
      </c>
      <c r="G240" s="70">
        <f t="shared" si="19"/>
        <v>13023.8262</v>
      </c>
      <c r="H240" s="68" t="s">
        <v>15</v>
      </c>
      <c r="I240" s="79">
        <v>12</v>
      </c>
    </row>
    <row r="241" s="43" customFormat="1" ht="56.25" spans="1:9">
      <c r="A241" s="57">
        <v>11</v>
      </c>
      <c r="B241" s="30" t="s">
        <v>279</v>
      </c>
      <c r="C241" s="30" t="s">
        <v>280</v>
      </c>
      <c r="D241" s="32" t="s">
        <v>260</v>
      </c>
      <c r="E241" s="86">
        <v>82</v>
      </c>
      <c r="F241" s="70">
        <f t="shared" si="15"/>
        <v>10.5</v>
      </c>
      <c r="G241" s="70">
        <f t="shared" si="19"/>
        <v>861</v>
      </c>
      <c r="H241" s="68" t="s">
        <v>15</v>
      </c>
      <c r="I241" s="79">
        <v>10</v>
      </c>
    </row>
    <row r="242" s="43" customFormat="1" ht="56.25" spans="1:9">
      <c r="A242" s="57">
        <v>12</v>
      </c>
      <c r="B242" s="30" t="s">
        <v>281</v>
      </c>
      <c r="C242" s="30" t="s">
        <v>272</v>
      </c>
      <c r="D242" s="32" t="s">
        <v>260</v>
      </c>
      <c r="E242" s="86">
        <v>333</v>
      </c>
      <c r="F242" s="70">
        <f t="shared" si="15"/>
        <v>10.5</v>
      </c>
      <c r="G242" s="70">
        <f t="shared" si="19"/>
        <v>3496.5</v>
      </c>
      <c r="H242" s="68" t="s">
        <v>15</v>
      </c>
      <c r="I242" s="79">
        <v>10</v>
      </c>
    </row>
    <row r="243" s="43" customFormat="1" ht="56.25" spans="1:9">
      <c r="A243" s="57">
        <v>13</v>
      </c>
      <c r="B243" s="30" t="s">
        <v>282</v>
      </c>
      <c r="C243" s="30" t="s">
        <v>283</v>
      </c>
      <c r="D243" s="32" t="s">
        <v>260</v>
      </c>
      <c r="E243" s="86">
        <v>26</v>
      </c>
      <c r="F243" s="70">
        <f t="shared" si="15"/>
        <v>10.5</v>
      </c>
      <c r="G243" s="70">
        <f t="shared" si="19"/>
        <v>273</v>
      </c>
      <c r="H243" s="68" t="s">
        <v>15</v>
      </c>
      <c r="I243" s="79">
        <v>10</v>
      </c>
    </row>
    <row r="244" s="43" customFormat="1" ht="56.25" spans="1:9">
      <c r="A244" s="57">
        <v>14</v>
      </c>
      <c r="B244" s="30" t="s">
        <v>284</v>
      </c>
      <c r="C244" s="30" t="s">
        <v>285</v>
      </c>
      <c r="D244" s="32" t="s">
        <v>260</v>
      </c>
      <c r="E244" s="86">
        <v>389</v>
      </c>
      <c r="F244" s="70">
        <f t="shared" si="15"/>
        <v>10.5</v>
      </c>
      <c r="G244" s="70">
        <f t="shared" si="19"/>
        <v>4084.5</v>
      </c>
      <c r="H244" s="68" t="s">
        <v>15</v>
      </c>
      <c r="I244" s="79">
        <v>10</v>
      </c>
    </row>
    <row r="245" s="43" customFormat="1" ht="56.25" spans="1:9">
      <c r="A245" s="57">
        <v>15</v>
      </c>
      <c r="B245" s="30" t="s">
        <v>286</v>
      </c>
      <c r="C245" s="30" t="s">
        <v>287</v>
      </c>
      <c r="D245" s="32" t="s">
        <v>260</v>
      </c>
      <c r="E245" s="86">
        <v>1</v>
      </c>
      <c r="F245" s="70">
        <f t="shared" si="15"/>
        <v>840</v>
      </c>
      <c r="G245" s="70">
        <f t="shared" si="19"/>
        <v>840</v>
      </c>
      <c r="H245" s="68" t="s">
        <v>15</v>
      </c>
      <c r="I245" s="79">
        <v>800</v>
      </c>
    </row>
    <row r="246" s="43" customFormat="1" ht="56.25" spans="1:9">
      <c r="A246" s="57">
        <v>16</v>
      </c>
      <c r="B246" s="30" t="s">
        <v>288</v>
      </c>
      <c r="C246" s="30" t="s">
        <v>289</v>
      </c>
      <c r="D246" s="32" t="s">
        <v>260</v>
      </c>
      <c r="E246" s="86">
        <v>3</v>
      </c>
      <c r="F246" s="70">
        <f t="shared" si="15"/>
        <v>10.5</v>
      </c>
      <c r="G246" s="70">
        <f t="shared" si="19"/>
        <v>31.5</v>
      </c>
      <c r="H246" s="68" t="s">
        <v>15</v>
      </c>
      <c r="I246" s="79">
        <v>10</v>
      </c>
    </row>
    <row r="247" s="43" customFormat="1" ht="67.5" spans="1:9">
      <c r="A247" s="57">
        <v>17</v>
      </c>
      <c r="B247" s="30" t="s">
        <v>290</v>
      </c>
      <c r="C247" s="30" t="s">
        <v>291</v>
      </c>
      <c r="D247" s="32" t="s">
        <v>174</v>
      </c>
      <c r="E247" s="86">
        <v>53</v>
      </c>
      <c r="F247" s="70">
        <f t="shared" si="15"/>
        <v>10.5</v>
      </c>
      <c r="G247" s="70">
        <f t="shared" si="19"/>
        <v>556.5</v>
      </c>
      <c r="H247" s="68" t="s">
        <v>15</v>
      </c>
      <c r="I247" s="79">
        <v>10</v>
      </c>
    </row>
    <row r="248" s="43" customFormat="1" ht="67.5" spans="1:9">
      <c r="A248" s="57">
        <v>18</v>
      </c>
      <c r="B248" s="30" t="s">
        <v>292</v>
      </c>
      <c r="C248" s="30" t="s">
        <v>291</v>
      </c>
      <c r="D248" s="32" t="s">
        <v>174</v>
      </c>
      <c r="E248" s="86">
        <v>74</v>
      </c>
      <c r="F248" s="70">
        <f t="shared" si="15"/>
        <v>10.5</v>
      </c>
      <c r="G248" s="70">
        <f t="shared" si="19"/>
        <v>777</v>
      </c>
      <c r="H248" s="68" t="s">
        <v>15</v>
      </c>
      <c r="I248" s="79">
        <v>10</v>
      </c>
    </row>
    <row r="249" s="43" customFormat="1" ht="67.5" spans="1:9">
      <c r="A249" s="57">
        <v>19</v>
      </c>
      <c r="B249" s="30" t="s">
        <v>293</v>
      </c>
      <c r="C249" s="30" t="s">
        <v>291</v>
      </c>
      <c r="D249" s="32" t="s">
        <v>174</v>
      </c>
      <c r="E249" s="86">
        <v>41</v>
      </c>
      <c r="F249" s="70">
        <f t="shared" si="15"/>
        <v>10.5</v>
      </c>
      <c r="G249" s="70">
        <f t="shared" si="19"/>
        <v>430.5</v>
      </c>
      <c r="H249" s="68" t="s">
        <v>15</v>
      </c>
      <c r="I249" s="79">
        <v>10</v>
      </c>
    </row>
    <row r="250" s="43" customFormat="1" ht="67.5" spans="1:9">
      <c r="A250" s="57">
        <v>20</v>
      </c>
      <c r="B250" s="30" t="s">
        <v>294</v>
      </c>
      <c r="C250" s="30" t="s">
        <v>291</v>
      </c>
      <c r="D250" s="32" t="s">
        <v>174</v>
      </c>
      <c r="E250" s="86">
        <v>2</v>
      </c>
      <c r="F250" s="70">
        <f t="shared" si="15"/>
        <v>10.5</v>
      </c>
      <c r="G250" s="70">
        <f t="shared" si="19"/>
        <v>21</v>
      </c>
      <c r="H250" s="68" t="s">
        <v>15</v>
      </c>
      <c r="I250" s="79">
        <v>10</v>
      </c>
    </row>
    <row r="251" s="43" customFormat="1" ht="67.5" spans="1:9">
      <c r="A251" s="57">
        <v>21</v>
      </c>
      <c r="B251" s="30" t="s">
        <v>295</v>
      </c>
      <c r="C251" s="30" t="s">
        <v>291</v>
      </c>
      <c r="D251" s="32" t="s">
        <v>174</v>
      </c>
      <c r="E251" s="86">
        <v>35</v>
      </c>
      <c r="F251" s="70">
        <f t="shared" si="15"/>
        <v>10.5</v>
      </c>
      <c r="G251" s="70">
        <f t="shared" si="19"/>
        <v>367.5</v>
      </c>
      <c r="H251" s="68" t="s">
        <v>15</v>
      </c>
      <c r="I251" s="79">
        <v>10</v>
      </c>
    </row>
    <row r="252" s="43" customFormat="1" ht="67.5" spans="1:9">
      <c r="A252" s="57">
        <v>22</v>
      </c>
      <c r="B252" s="30" t="s">
        <v>296</v>
      </c>
      <c r="C252" s="30" t="s">
        <v>291</v>
      </c>
      <c r="D252" s="32" t="s">
        <v>174</v>
      </c>
      <c r="E252" s="86">
        <v>65</v>
      </c>
      <c r="F252" s="70">
        <f t="shared" si="15"/>
        <v>10.5</v>
      </c>
      <c r="G252" s="70">
        <f t="shared" si="19"/>
        <v>682.5</v>
      </c>
      <c r="H252" s="68" t="s">
        <v>15</v>
      </c>
      <c r="I252" s="79">
        <v>10</v>
      </c>
    </row>
    <row r="253" s="43" customFormat="1" ht="67.5" spans="1:9">
      <c r="A253" s="57">
        <v>23</v>
      </c>
      <c r="B253" s="30" t="s">
        <v>297</v>
      </c>
      <c r="C253" s="30" t="s">
        <v>291</v>
      </c>
      <c r="D253" s="32" t="s">
        <v>174</v>
      </c>
      <c r="E253" s="86">
        <v>14</v>
      </c>
      <c r="F253" s="70">
        <f t="shared" si="15"/>
        <v>10.5</v>
      </c>
      <c r="G253" s="70">
        <f t="shared" si="19"/>
        <v>147</v>
      </c>
      <c r="H253" s="68" t="s">
        <v>15</v>
      </c>
      <c r="I253" s="79">
        <v>10</v>
      </c>
    </row>
    <row r="254" s="43" customFormat="1" ht="67.5" spans="1:9">
      <c r="A254" s="57">
        <v>24</v>
      </c>
      <c r="B254" s="30" t="s">
        <v>298</v>
      </c>
      <c r="C254" s="30" t="s">
        <v>291</v>
      </c>
      <c r="D254" s="32" t="s">
        <v>174</v>
      </c>
      <c r="E254" s="86">
        <v>43</v>
      </c>
      <c r="F254" s="70">
        <f t="shared" si="15"/>
        <v>10.5</v>
      </c>
      <c r="G254" s="70">
        <f t="shared" si="19"/>
        <v>451.5</v>
      </c>
      <c r="H254" s="68" t="s">
        <v>15</v>
      </c>
      <c r="I254" s="79">
        <v>10</v>
      </c>
    </row>
    <row r="255" s="43" customFormat="1" ht="67.5" spans="1:9">
      <c r="A255" s="57">
        <v>25</v>
      </c>
      <c r="B255" s="30" t="s">
        <v>299</v>
      </c>
      <c r="C255" s="30" t="s">
        <v>291</v>
      </c>
      <c r="D255" s="32" t="s">
        <v>174</v>
      </c>
      <c r="E255" s="86">
        <v>962</v>
      </c>
      <c r="F255" s="70">
        <f t="shared" si="15"/>
        <v>10.5</v>
      </c>
      <c r="G255" s="70">
        <f t="shared" si="19"/>
        <v>10101</v>
      </c>
      <c r="H255" s="68" t="s">
        <v>15</v>
      </c>
      <c r="I255" s="79">
        <v>10</v>
      </c>
    </row>
    <row r="256" s="43" customFormat="1" ht="67.5" spans="1:9">
      <c r="A256" s="57">
        <v>26</v>
      </c>
      <c r="B256" s="30" t="s">
        <v>300</v>
      </c>
      <c r="C256" s="30" t="s">
        <v>291</v>
      </c>
      <c r="D256" s="32" t="s">
        <v>174</v>
      </c>
      <c r="E256" s="86">
        <v>95</v>
      </c>
      <c r="F256" s="70">
        <f t="shared" si="15"/>
        <v>15.75</v>
      </c>
      <c r="G256" s="70">
        <f t="shared" si="19"/>
        <v>1496.25</v>
      </c>
      <c r="H256" s="68" t="s">
        <v>15</v>
      </c>
      <c r="I256" s="79">
        <v>15</v>
      </c>
    </row>
    <row r="257" s="43" customFormat="1" ht="67.5" spans="1:9">
      <c r="A257" s="57">
        <v>27</v>
      </c>
      <c r="B257" s="30" t="s">
        <v>301</v>
      </c>
      <c r="C257" s="30" t="s">
        <v>291</v>
      </c>
      <c r="D257" s="32" t="s">
        <v>174</v>
      </c>
      <c r="E257" s="86">
        <v>29</v>
      </c>
      <c r="F257" s="70">
        <f t="shared" si="15"/>
        <v>10.5</v>
      </c>
      <c r="G257" s="70">
        <f t="shared" si="19"/>
        <v>304.5</v>
      </c>
      <c r="H257" s="68" t="s">
        <v>15</v>
      </c>
      <c r="I257" s="79">
        <v>10</v>
      </c>
    </row>
    <row r="258" s="43" customFormat="1" ht="67.5" spans="1:9">
      <c r="A258" s="57">
        <v>28</v>
      </c>
      <c r="B258" s="30" t="s">
        <v>302</v>
      </c>
      <c r="C258" s="30" t="s">
        <v>291</v>
      </c>
      <c r="D258" s="32" t="s">
        <v>174</v>
      </c>
      <c r="E258" s="86">
        <v>50</v>
      </c>
      <c r="F258" s="70">
        <f t="shared" si="15"/>
        <v>10.5</v>
      </c>
      <c r="G258" s="70">
        <f t="shared" si="19"/>
        <v>525</v>
      </c>
      <c r="H258" s="68" t="s">
        <v>15</v>
      </c>
      <c r="I258" s="79">
        <v>10</v>
      </c>
    </row>
    <row r="259" s="43" customFormat="1" ht="56.25" spans="1:9">
      <c r="A259" s="57">
        <v>29</v>
      </c>
      <c r="B259" s="30" t="s">
        <v>303</v>
      </c>
      <c r="C259" s="30" t="s">
        <v>304</v>
      </c>
      <c r="D259" s="32" t="s">
        <v>174</v>
      </c>
      <c r="E259" s="86">
        <v>1462</v>
      </c>
      <c r="F259" s="70">
        <f t="shared" si="15"/>
        <v>5.25</v>
      </c>
      <c r="G259" s="70">
        <f t="shared" si="19"/>
        <v>7675.5</v>
      </c>
      <c r="H259" s="68" t="s">
        <v>15</v>
      </c>
      <c r="I259" s="79">
        <v>5</v>
      </c>
    </row>
    <row r="260" s="43" customFormat="1" ht="56.25" spans="1:9">
      <c r="A260" s="57">
        <v>30</v>
      </c>
      <c r="B260" s="30" t="s">
        <v>305</v>
      </c>
      <c r="C260" s="30" t="s">
        <v>304</v>
      </c>
      <c r="D260" s="32" t="s">
        <v>174</v>
      </c>
      <c r="E260" s="86">
        <v>1934</v>
      </c>
      <c r="F260" s="70">
        <f t="shared" si="15"/>
        <v>5.25</v>
      </c>
      <c r="G260" s="70">
        <f t="shared" si="19"/>
        <v>10153.5</v>
      </c>
      <c r="H260" s="68" t="s">
        <v>15</v>
      </c>
      <c r="I260" s="79">
        <v>5</v>
      </c>
    </row>
    <row r="261" s="43" customFormat="1" ht="56.25" spans="1:9">
      <c r="A261" s="57">
        <v>31</v>
      </c>
      <c r="B261" s="30" t="s">
        <v>306</v>
      </c>
      <c r="C261" s="30" t="s">
        <v>307</v>
      </c>
      <c r="D261" s="32" t="s">
        <v>308</v>
      </c>
      <c r="E261" s="86">
        <v>47</v>
      </c>
      <c r="F261" s="70">
        <f t="shared" si="15"/>
        <v>52.5</v>
      </c>
      <c r="G261" s="70">
        <f t="shared" si="19"/>
        <v>2467.5</v>
      </c>
      <c r="H261" s="68" t="s">
        <v>15</v>
      </c>
      <c r="I261" s="79">
        <v>50</v>
      </c>
    </row>
    <row r="262" s="43" customFormat="1" ht="56.25" spans="1:9">
      <c r="A262" s="57">
        <v>32</v>
      </c>
      <c r="B262" s="30" t="s">
        <v>309</v>
      </c>
      <c r="C262" s="30" t="s">
        <v>310</v>
      </c>
      <c r="D262" s="32" t="s">
        <v>308</v>
      </c>
      <c r="E262" s="86">
        <v>26</v>
      </c>
      <c r="F262" s="70">
        <f t="shared" ref="F262:F325" si="20">I262*1.05</f>
        <v>84</v>
      </c>
      <c r="G262" s="70">
        <f t="shared" si="19"/>
        <v>2184</v>
      </c>
      <c r="H262" s="68" t="s">
        <v>15</v>
      </c>
      <c r="I262" s="79">
        <v>80</v>
      </c>
    </row>
    <row r="263" s="43" customFormat="1" ht="101.25" spans="1:9">
      <c r="A263" s="57">
        <v>33</v>
      </c>
      <c r="B263" s="30" t="s">
        <v>311</v>
      </c>
      <c r="C263" s="30" t="s">
        <v>312</v>
      </c>
      <c r="D263" s="32" t="s">
        <v>42</v>
      </c>
      <c r="E263" s="87">
        <v>9895.3635</v>
      </c>
      <c r="F263" s="70">
        <f t="shared" si="20"/>
        <v>8.925</v>
      </c>
      <c r="G263" s="70">
        <f t="shared" si="19"/>
        <v>88316.1192375</v>
      </c>
      <c r="H263" s="68" t="s">
        <v>15</v>
      </c>
      <c r="I263" s="79">
        <v>8.5</v>
      </c>
    </row>
    <row r="264" s="43" customFormat="1" ht="101.25" spans="1:9">
      <c r="A264" s="57">
        <v>34</v>
      </c>
      <c r="B264" s="30" t="s">
        <v>313</v>
      </c>
      <c r="C264" s="30" t="s">
        <v>314</v>
      </c>
      <c r="D264" s="32" t="s">
        <v>42</v>
      </c>
      <c r="E264" s="87">
        <v>1345.124</v>
      </c>
      <c r="F264" s="70">
        <f t="shared" si="20"/>
        <v>8.925</v>
      </c>
      <c r="G264" s="70">
        <f t="shared" si="19"/>
        <v>12005.2317</v>
      </c>
      <c r="H264" s="68" t="s">
        <v>15</v>
      </c>
      <c r="I264" s="79">
        <v>8.5</v>
      </c>
    </row>
    <row r="265" s="43" customFormat="1" ht="101.25" spans="1:9">
      <c r="A265" s="57">
        <v>35</v>
      </c>
      <c r="B265" s="30" t="s">
        <v>315</v>
      </c>
      <c r="C265" s="30" t="s">
        <v>316</v>
      </c>
      <c r="D265" s="32" t="s">
        <v>42</v>
      </c>
      <c r="E265" s="87">
        <v>1454.23</v>
      </c>
      <c r="F265" s="70">
        <f t="shared" si="20"/>
        <v>8.925</v>
      </c>
      <c r="G265" s="70">
        <f t="shared" si="19"/>
        <v>12979.00275</v>
      </c>
      <c r="H265" s="68" t="s">
        <v>15</v>
      </c>
      <c r="I265" s="79">
        <v>8.5</v>
      </c>
    </row>
    <row r="266" s="43" customFormat="1" ht="101.25" spans="1:9">
      <c r="A266" s="57">
        <v>36</v>
      </c>
      <c r="B266" s="30" t="s">
        <v>317</v>
      </c>
      <c r="C266" s="30" t="s">
        <v>318</v>
      </c>
      <c r="D266" s="32" t="s">
        <v>42</v>
      </c>
      <c r="E266" s="87">
        <v>1741.058</v>
      </c>
      <c r="F266" s="70">
        <f t="shared" si="20"/>
        <v>8.925</v>
      </c>
      <c r="G266" s="70">
        <f t="shared" si="19"/>
        <v>15538.94265</v>
      </c>
      <c r="H266" s="68" t="s">
        <v>15</v>
      </c>
      <c r="I266" s="79">
        <v>8.5</v>
      </c>
    </row>
    <row r="267" s="43" customFormat="1" ht="101.25" spans="1:9">
      <c r="A267" s="57">
        <v>37</v>
      </c>
      <c r="B267" s="30" t="s">
        <v>319</v>
      </c>
      <c r="C267" s="30" t="s">
        <v>320</v>
      </c>
      <c r="D267" s="32" t="s">
        <v>42</v>
      </c>
      <c r="E267" s="87">
        <v>18.425</v>
      </c>
      <c r="F267" s="70">
        <f t="shared" si="20"/>
        <v>8.925</v>
      </c>
      <c r="G267" s="70">
        <f t="shared" si="19"/>
        <v>164.443125</v>
      </c>
      <c r="H267" s="68" t="s">
        <v>15</v>
      </c>
      <c r="I267" s="79">
        <v>8.5</v>
      </c>
    </row>
    <row r="268" s="43" customFormat="1" ht="67.5" spans="1:9">
      <c r="A268" s="57">
        <v>38</v>
      </c>
      <c r="B268" s="30" t="s">
        <v>321</v>
      </c>
      <c r="C268" s="30" t="s">
        <v>322</v>
      </c>
      <c r="D268" s="32" t="s">
        <v>42</v>
      </c>
      <c r="E268" s="87">
        <v>164.5215</v>
      </c>
      <c r="F268" s="70">
        <f t="shared" si="20"/>
        <v>2.1</v>
      </c>
      <c r="G268" s="70">
        <f t="shared" si="19"/>
        <v>345.49515</v>
      </c>
      <c r="H268" s="68" t="s">
        <v>15</v>
      </c>
      <c r="I268" s="79">
        <v>2</v>
      </c>
    </row>
    <row r="269" s="43" customFormat="1" ht="67.5" spans="1:9">
      <c r="A269" s="57">
        <v>39</v>
      </c>
      <c r="B269" s="30" t="s">
        <v>323</v>
      </c>
      <c r="C269" s="30" t="s">
        <v>322</v>
      </c>
      <c r="D269" s="32" t="s">
        <v>42</v>
      </c>
      <c r="E269" s="87">
        <v>0.1485</v>
      </c>
      <c r="F269" s="70">
        <f t="shared" si="20"/>
        <v>2.1</v>
      </c>
      <c r="G269" s="70">
        <f t="shared" si="19"/>
        <v>0.31185</v>
      </c>
      <c r="H269" s="68" t="s">
        <v>15</v>
      </c>
      <c r="I269" s="79">
        <v>2</v>
      </c>
    </row>
    <row r="270" s="43" customFormat="1" ht="67.5" spans="1:9">
      <c r="A270" s="57">
        <v>40</v>
      </c>
      <c r="B270" s="30" t="s">
        <v>324</v>
      </c>
      <c r="C270" s="30" t="s">
        <v>325</v>
      </c>
      <c r="D270" s="32" t="s">
        <v>42</v>
      </c>
      <c r="E270" s="87">
        <v>46883.3475</v>
      </c>
      <c r="F270" s="70">
        <f t="shared" si="20"/>
        <v>2.1</v>
      </c>
      <c r="G270" s="70">
        <f t="shared" si="19"/>
        <v>98455.02975</v>
      </c>
      <c r="H270" s="68" t="s">
        <v>15</v>
      </c>
      <c r="I270" s="79">
        <v>2</v>
      </c>
    </row>
    <row r="271" s="43" customFormat="1" ht="67.5" spans="1:9">
      <c r="A271" s="57">
        <v>41</v>
      </c>
      <c r="B271" s="30" t="s">
        <v>326</v>
      </c>
      <c r="C271" s="30" t="s">
        <v>327</v>
      </c>
      <c r="D271" s="32" t="s">
        <v>42</v>
      </c>
      <c r="E271" s="87">
        <v>8337.3015</v>
      </c>
      <c r="F271" s="70">
        <f t="shared" si="20"/>
        <v>2.1</v>
      </c>
      <c r="G271" s="70">
        <f t="shared" si="19"/>
        <v>17508.33315</v>
      </c>
      <c r="H271" s="68" t="s">
        <v>15</v>
      </c>
      <c r="I271" s="79">
        <v>2</v>
      </c>
    </row>
    <row r="272" s="43" customFormat="1" ht="67.5" spans="1:9">
      <c r="A272" s="57">
        <v>42</v>
      </c>
      <c r="B272" s="30" t="s">
        <v>328</v>
      </c>
      <c r="C272" s="30" t="s">
        <v>329</v>
      </c>
      <c r="D272" s="32" t="s">
        <v>42</v>
      </c>
      <c r="E272" s="87">
        <v>56.76</v>
      </c>
      <c r="F272" s="70">
        <f t="shared" si="20"/>
        <v>2.1</v>
      </c>
      <c r="G272" s="70">
        <f t="shared" si="19"/>
        <v>119.196</v>
      </c>
      <c r="H272" s="68" t="s">
        <v>15</v>
      </c>
      <c r="I272" s="79">
        <v>2</v>
      </c>
    </row>
    <row r="273" s="43" customFormat="1" ht="67.5" spans="1:9">
      <c r="A273" s="57">
        <v>43</v>
      </c>
      <c r="B273" s="30" t="s">
        <v>330</v>
      </c>
      <c r="C273" s="30" t="s">
        <v>331</v>
      </c>
      <c r="D273" s="32" t="s">
        <v>42</v>
      </c>
      <c r="E273" s="87">
        <v>559.4435</v>
      </c>
      <c r="F273" s="70">
        <f t="shared" si="20"/>
        <v>2.1</v>
      </c>
      <c r="G273" s="70">
        <f t="shared" si="19"/>
        <v>1174.83135</v>
      </c>
      <c r="H273" s="68" t="s">
        <v>15</v>
      </c>
      <c r="I273" s="79">
        <v>2</v>
      </c>
    </row>
    <row r="274" s="43" customFormat="1" ht="67.5" spans="1:9">
      <c r="A274" s="57">
        <v>44</v>
      </c>
      <c r="B274" s="30" t="s">
        <v>332</v>
      </c>
      <c r="C274" s="30" t="s">
        <v>333</v>
      </c>
      <c r="D274" s="32" t="s">
        <v>42</v>
      </c>
      <c r="E274" s="87">
        <v>439.527</v>
      </c>
      <c r="F274" s="70">
        <f t="shared" si="20"/>
        <v>2.1</v>
      </c>
      <c r="G274" s="70">
        <f t="shared" si="19"/>
        <v>923.0067</v>
      </c>
      <c r="H274" s="68" t="s">
        <v>15</v>
      </c>
      <c r="I274" s="79">
        <v>2</v>
      </c>
    </row>
    <row r="275" s="43" customFormat="1" ht="33" customHeight="1" spans="1:9">
      <c r="A275" s="57">
        <v>45</v>
      </c>
      <c r="B275" s="30" t="s">
        <v>334</v>
      </c>
      <c r="C275" s="30"/>
      <c r="D275" s="32" t="s">
        <v>42</v>
      </c>
      <c r="E275" s="87">
        <v>914.76</v>
      </c>
      <c r="F275" s="70">
        <f t="shared" si="20"/>
        <v>18.9</v>
      </c>
      <c r="G275" s="70">
        <f t="shared" si="19"/>
        <v>17288.964</v>
      </c>
      <c r="H275" s="68" t="s">
        <v>15</v>
      </c>
      <c r="I275" s="79">
        <v>18</v>
      </c>
    </row>
    <row r="276" s="42" customFormat="1" ht="21" customHeight="1" spans="1:9">
      <c r="A276" s="84" t="s">
        <v>335</v>
      </c>
      <c r="B276" s="65" t="s">
        <v>336</v>
      </c>
      <c r="C276" s="59"/>
      <c r="D276" s="90"/>
      <c r="E276" s="81"/>
      <c r="F276" s="70"/>
      <c r="G276" s="82">
        <f>SUM(G277:G318)</f>
        <v>238266.552825</v>
      </c>
      <c r="H276" s="64"/>
      <c r="I276" s="83"/>
    </row>
    <row r="277" s="43" customFormat="1" ht="56.25" spans="1:9">
      <c r="A277" s="57">
        <v>1</v>
      </c>
      <c r="B277" s="30" t="s">
        <v>258</v>
      </c>
      <c r="C277" s="30" t="s">
        <v>259</v>
      </c>
      <c r="D277" s="32" t="s">
        <v>260</v>
      </c>
      <c r="E277" s="86">
        <v>47</v>
      </c>
      <c r="F277" s="70">
        <f t="shared" si="20"/>
        <v>10.5</v>
      </c>
      <c r="G277" s="70">
        <f t="shared" ref="G277:G318" si="21">F277*E277</f>
        <v>493.5</v>
      </c>
      <c r="H277" s="68" t="s">
        <v>15</v>
      </c>
      <c r="I277" s="79">
        <v>10</v>
      </c>
    </row>
    <row r="278" s="43" customFormat="1" ht="56.25" spans="1:9">
      <c r="A278" s="57">
        <v>2</v>
      </c>
      <c r="B278" s="30" t="s">
        <v>261</v>
      </c>
      <c r="C278" s="30" t="s">
        <v>262</v>
      </c>
      <c r="D278" s="32" t="s">
        <v>260</v>
      </c>
      <c r="E278" s="86">
        <v>71</v>
      </c>
      <c r="F278" s="70">
        <f t="shared" si="20"/>
        <v>10.5</v>
      </c>
      <c r="G278" s="70">
        <f t="shared" si="21"/>
        <v>745.5</v>
      </c>
      <c r="H278" s="68" t="s">
        <v>15</v>
      </c>
      <c r="I278" s="79">
        <v>10</v>
      </c>
    </row>
    <row r="279" s="43" customFormat="1" ht="56.25" spans="1:9">
      <c r="A279" s="57">
        <v>3</v>
      </c>
      <c r="B279" s="30" t="s">
        <v>263</v>
      </c>
      <c r="C279" s="30" t="s">
        <v>264</v>
      </c>
      <c r="D279" s="32" t="s">
        <v>260</v>
      </c>
      <c r="E279" s="86">
        <v>126</v>
      </c>
      <c r="F279" s="70">
        <f t="shared" si="20"/>
        <v>10.5</v>
      </c>
      <c r="G279" s="70">
        <f t="shared" si="21"/>
        <v>1323</v>
      </c>
      <c r="H279" s="68" t="s">
        <v>15</v>
      </c>
      <c r="I279" s="79">
        <v>10</v>
      </c>
    </row>
    <row r="280" s="43" customFormat="1" ht="56.25" spans="1:9">
      <c r="A280" s="57">
        <v>4</v>
      </c>
      <c r="B280" s="30" t="s">
        <v>265</v>
      </c>
      <c r="C280" s="30" t="s">
        <v>266</v>
      </c>
      <c r="D280" s="32" t="s">
        <v>260</v>
      </c>
      <c r="E280" s="86">
        <v>14</v>
      </c>
      <c r="F280" s="70">
        <f t="shared" si="20"/>
        <v>10.5</v>
      </c>
      <c r="G280" s="70">
        <f t="shared" si="21"/>
        <v>147</v>
      </c>
      <c r="H280" s="68" t="s">
        <v>15</v>
      </c>
      <c r="I280" s="79">
        <v>10</v>
      </c>
    </row>
    <row r="281" s="43" customFormat="1" ht="56.25" spans="1:9">
      <c r="A281" s="57">
        <v>5</v>
      </c>
      <c r="B281" s="30" t="s">
        <v>267</v>
      </c>
      <c r="C281" s="30" t="s">
        <v>268</v>
      </c>
      <c r="D281" s="32" t="s">
        <v>260</v>
      </c>
      <c r="E281" s="86">
        <v>381</v>
      </c>
      <c r="F281" s="70">
        <f t="shared" si="20"/>
        <v>10.5</v>
      </c>
      <c r="G281" s="70">
        <f t="shared" si="21"/>
        <v>4000.5</v>
      </c>
      <c r="H281" s="68" t="s">
        <v>15</v>
      </c>
      <c r="I281" s="79">
        <v>10</v>
      </c>
    </row>
    <row r="282" s="43" customFormat="1" ht="56.25" spans="1:9">
      <c r="A282" s="57">
        <v>6</v>
      </c>
      <c r="B282" s="30" t="s">
        <v>269</v>
      </c>
      <c r="C282" s="30" t="s">
        <v>270</v>
      </c>
      <c r="D282" s="32" t="s">
        <v>260</v>
      </c>
      <c r="E282" s="86">
        <v>80</v>
      </c>
      <c r="F282" s="70">
        <f t="shared" si="20"/>
        <v>10.5</v>
      </c>
      <c r="G282" s="70">
        <f t="shared" si="21"/>
        <v>840</v>
      </c>
      <c r="H282" s="68" t="s">
        <v>15</v>
      </c>
      <c r="I282" s="79">
        <v>10</v>
      </c>
    </row>
    <row r="283" s="43" customFormat="1" ht="56.25" spans="1:9">
      <c r="A283" s="57">
        <v>7</v>
      </c>
      <c r="B283" s="30" t="s">
        <v>271</v>
      </c>
      <c r="C283" s="30" t="s">
        <v>272</v>
      </c>
      <c r="D283" s="32" t="s">
        <v>260</v>
      </c>
      <c r="E283" s="86">
        <v>56</v>
      </c>
      <c r="F283" s="70">
        <f t="shared" si="20"/>
        <v>10.5</v>
      </c>
      <c r="G283" s="70">
        <f t="shared" si="21"/>
        <v>588</v>
      </c>
      <c r="H283" s="68" t="s">
        <v>15</v>
      </c>
      <c r="I283" s="79">
        <v>10</v>
      </c>
    </row>
    <row r="284" s="43" customFormat="1" ht="56.25" spans="1:9">
      <c r="A284" s="57">
        <v>8</v>
      </c>
      <c r="B284" s="30" t="s">
        <v>273</v>
      </c>
      <c r="C284" s="30" t="s">
        <v>274</v>
      </c>
      <c r="D284" s="32" t="s">
        <v>260</v>
      </c>
      <c r="E284" s="86">
        <v>17</v>
      </c>
      <c r="F284" s="70">
        <f t="shared" si="20"/>
        <v>31.5</v>
      </c>
      <c r="G284" s="70">
        <f t="shared" si="21"/>
        <v>535.5</v>
      </c>
      <c r="H284" s="68" t="s">
        <v>15</v>
      </c>
      <c r="I284" s="79">
        <v>30</v>
      </c>
    </row>
    <row r="285" s="43" customFormat="1" ht="56.25" spans="1:9">
      <c r="A285" s="57">
        <v>9</v>
      </c>
      <c r="B285" s="30" t="s">
        <v>275</v>
      </c>
      <c r="C285" s="30" t="s">
        <v>276</v>
      </c>
      <c r="D285" s="32" t="s">
        <v>260</v>
      </c>
      <c r="E285" s="86">
        <v>15</v>
      </c>
      <c r="F285" s="70">
        <f t="shared" si="20"/>
        <v>10.5</v>
      </c>
      <c r="G285" s="70">
        <f t="shared" si="21"/>
        <v>157.5</v>
      </c>
      <c r="H285" s="68" t="s">
        <v>15</v>
      </c>
      <c r="I285" s="79">
        <v>10</v>
      </c>
    </row>
    <row r="286" s="43" customFormat="1" ht="56.25" spans="1:9">
      <c r="A286" s="57">
        <v>10</v>
      </c>
      <c r="B286" s="30" t="s">
        <v>277</v>
      </c>
      <c r="C286" s="30" t="s">
        <v>278</v>
      </c>
      <c r="D286" s="32" t="s">
        <v>42</v>
      </c>
      <c r="E286" s="86">
        <v>845.703</v>
      </c>
      <c r="F286" s="70">
        <f t="shared" si="20"/>
        <v>12.6</v>
      </c>
      <c r="G286" s="70">
        <f t="shared" si="21"/>
        <v>10655.8578</v>
      </c>
      <c r="H286" s="68" t="s">
        <v>15</v>
      </c>
      <c r="I286" s="79">
        <v>12</v>
      </c>
    </row>
    <row r="287" s="43" customFormat="1" ht="56.25" spans="1:9">
      <c r="A287" s="57">
        <v>11</v>
      </c>
      <c r="B287" s="30" t="s">
        <v>279</v>
      </c>
      <c r="C287" s="30" t="s">
        <v>280</v>
      </c>
      <c r="D287" s="32" t="s">
        <v>260</v>
      </c>
      <c r="E287" s="86">
        <v>67</v>
      </c>
      <c r="F287" s="70">
        <f t="shared" si="20"/>
        <v>10.5</v>
      </c>
      <c r="G287" s="70">
        <f t="shared" si="21"/>
        <v>703.5</v>
      </c>
      <c r="H287" s="68" t="s">
        <v>15</v>
      </c>
      <c r="I287" s="79">
        <v>10</v>
      </c>
    </row>
    <row r="288" s="43" customFormat="1" ht="56.25" spans="1:9">
      <c r="A288" s="57">
        <v>12</v>
      </c>
      <c r="B288" s="30" t="s">
        <v>281</v>
      </c>
      <c r="C288" s="30" t="s">
        <v>272</v>
      </c>
      <c r="D288" s="32" t="s">
        <v>260</v>
      </c>
      <c r="E288" s="86">
        <v>272</v>
      </c>
      <c r="F288" s="70">
        <f t="shared" si="20"/>
        <v>10.5</v>
      </c>
      <c r="G288" s="70">
        <f t="shared" si="21"/>
        <v>2856</v>
      </c>
      <c r="H288" s="68" t="s">
        <v>15</v>
      </c>
      <c r="I288" s="79">
        <v>10</v>
      </c>
    </row>
    <row r="289" s="43" customFormat="1" ht="56.25" spans="1:9">
      <c r="A289" s="57">
        <v>13</v>
      </c>
      <c r="B289" s="30" t="s">
        <v>282</v>
      </c>
      <c r="C289" s="30" t="s">
        <v>283</v>
      </c>
      <c r="D289" s="32" t="s">
        <v>260</v>
      </c>
      <c r="E289" s="86">
        <v>22</v>
      </c>
      <c r="F289" s="70">
        <f t="shared" si="20"/>
        <v>10.5</v>
      </c>
      <c r="G289" s="70">
        <f t="shared" si="21"/>
        <v>231</v>
      </c>
      <c r="H289" s="68" t="s">
        <v>15</v>
      </c>
      <c r="I289" s="79">
        <v>10</v>
      </c>
    </row>
    <row r="290" s="43" customFormat="1" ht="56.25" spans="1:9">
      <c r="A290" s="57">
        <v>14</v>
      </c>
      <c r="B290" s="30" t="s">
        <v>284</v>
      </c>
      <c r="C290" s="30" t="s">
        <v>285</v>
      </c>
      <c r="D290" s="32" t="s">
        <v>260</v>
      </c>
      <c r="E290" s="86">
        <v>318</v>
      </c>
      <c r="F290" s="70">
        <f t="shared" si="20"/>
        <v>10.5</v>
      </c>
      <c r="G290" s="70">
        <f t="shared" si="21"/>
        <v>3339</v>
      </c>
      <c r="H290" s="68" t="s">
        <v>15</v>
      </c>
      <c r="I290" s="79">
        <v>10</v>
      </c>
    </row>
    <row r="291" s="43" customFormat="1" ht="67.5" spans="1:9">
      <c r="A291" s="57">
        <v>15</v>
      </c>
      <c r="B291" s="30" t="s">
        <v>290</v>
      </c>
      <c r="C291" s="30" t="s">
        <v>291</v>
      </c>
      <c r="D291" s="32" t="s">
        <v>174</v>
      </c>
      <c r="E291" s="86">
        <v>43</v>
      </c>
      <c r="F291" s="70">
        <f t="shared" si="20"/>
        <v>10.5</v>
      </c>
      <c r="G291" s="70">
        <f t="shared" si="21"/>
        <v>451.5</v>
      </c>
      <c r="H291" s="68" t="s">
        <v>15</v>
      </c>
      <c r="I291" s="79">
        <v>10</v>
      </c>
    </row>
    <row r="292" s="43" customFormat="1" ht="67.5" spans="1:9">
      <c r="A292" s="57">
        <v>16</v>
      </c>
      <c r="B292" s="30" t="s">
        <v>292</v>
      </c>
      <c r="C292" s="30" t="s">
        <v>291</v>
      </c>
      <c r="D292" s="32" t="s">
        <v>174</v>
      </c>
      <c r="E292" s="86">
        <v>59</v>
      </c>
      <c r="F292" s="70">
        <f t="shared" si="20"/>
        <v>10.5</v>
      </c>
      <c r="G292" s="70">
        <f t="shared" si="21"/>
        <v>619.5</v>
      </c>
      <c r="H292" s="68" t="s">
        <v>15</v>
      </c>
      <c r="I292" s="79">
        <v>10</v>
      </c>
    </row>
    <row r="293" s="43" customFormat="1" ht="67.5" spans="1:9">
      <c r="A293" s="57">
        <v>17</v>
      </c>
      <c r="B293" s="30" t="s">
        <v>293</v>
      </c>
      <c r="C293" s="30" t="s">
        <v>291</v>
      </c>
      <c r="D293" s="32" t="s">
        <v>174</v>
      </c>
      <c r="E293" s="86">
        <v>33</v>
      </c>
      <c r="F293" s="70">
        <f t="shared" si="20"/>
        <v>10.5</v>
      </c>
      <c r="G293" s="70">
        <f t="shared" si="21"/>
        <v>346.5</v>
      </c>
      <c r="H293" s="68" t="s">
        <v>15</v>
      </c>
      <c r="I293" s="79">
        <v>10</v>
      </c>
    </row>
    <row r="294" s="43" customFormat="1" ht="67.5" spans="1:9">
      <c r="A294" s="57">
        <v>18</v>
      </c>
      <c r="B294" s="30" t="s">
        <v>294</v>
      </c>
      <c r="C294" s="30" t="s">
        <v>291</v>
      </c>
      <c r="D294" s="32" t="s">
        <v>174</v>
      </c>
      <c r="E294" s="86">
        <v>2</v>
      </c>
      <c r="F294" s="70">
        <f t="shared" si="20"/>
        <v>10.5</v>
      </c>
      <c r="G294" s="70">
        <f t="shared" si="21"/>
        <v>21</v>
      </c>
      <c r="H294" s="68" t="s">
        <v>15</v>
      </c>
      <c r="I294" s="79">
        <v>10</v>
      </c>
    </row>
    <row r="295" s="43" customFormat="1" ht="67.5" spans="1:9">
      <c r="A295" s="57">
        <v>19</v>
      </c>
      <c r="B295" s="30" t="s">
        <v>295</v>
      </c>
      <c r="C295" s="30" t="s">
        <v>291</v>
      </c>
      <c r="D295" s="32" t="s">
        <v>174</v>
      </c>
      <c r="E295" s="86">
        <v>29</v>
      </c>
      <c r="F295" s="70">
        <f t="shared" si="20"/>
        <v>10.5</v>
      </c>
      <c r="G295" s="70">
        <f t="shared" si="21"/>
        <v>304.5</v>
      </c>
      <c r="H295" s="68" t="s">
        <v>15</v>
      </c>
      <c r="I295" s="79">
        <v>10</v>
      </c>
    </row>
    <row r="296" s="43" customFormat="1" ht="67.5" spans="1:9">
      <c r="A296" s="57">
        <v>20</v>
      </c>
      <c r="B296" s="30" t="s">
        <v>296</v>
      </c>
      <c r="C296" s="30" t="s">
        <v>291</v>
      </c>
      <c r="D296" s="32" t="s">
        <v>174</v>
      </c>
      <c r="E296" s="86">
        <v>54</v>
      </c>
      <c r="F296" s="70">
        <f t="shared" si="20"/>
        <v>10.5</v>
      </c>
      <c r="G296" s="70">
        <f t="shared" si="21"/>
        <v>567</v>
      </c>
      <c r="H296" s="68" t="s">
        <v>15</v>
      </c>
      <c r="I296" s="79">
        <v>10</v>
      </c>
    </row>
    <row r="297" s="43" customFormat="1" ht="67.5" spans="1:9">
      <c r="A297" s="57">
        <v>21</v>
      </c>
      <c r="B297" s="30" t="s">
        <v>297</v>
      </c>
      <c r="C297" s="30" t="s">
        <v>291</v>
      </c>
      <c r="D297" s="32" t="s">
        <v>174</v>
      </c>
      <c r="E297" s="86">
        <v>11</v>
      </c>
      <c r="F297" s="70">
        <f t="shared" si="20"/>
        <v>10.5</v>
      </c>
      <c r="G297" s="70">
        <f t="shared" si="21"/>
        <v>115.5</v>
      </c>
      <c r="H297" s="68" t="s">
        <v>15</v>
      </c>
      <c r="I297" s="79">
        <v>10</v>
      </c>
    </row>
    <row r="298" s="43" customFormat="1" ht="67.5" spans="1:9">
      <c r="A298" s="57">
        <v>22</v>
      </c>
      <c r="B298" s="30" t="s">
        <v>298</v>
      </c>
      <c r="C298" s="30" t="s">
        <v>291</v>
      </c>
      <c r="D298" s="32" t="s">
        <v>174</v>
      </c>
      <c r="E298" s="86">
        <v>36</v>
      </c>
      <c r="F298" s="70">
        <f t="shared" si="20"/>
        <v>10.5</v>
      </c>
      <c r="G298" s="70">
        <f t="shared" si="21"/>
        <v>378</v>
      </c>
      <c r="H298" s="68" t="s">
        <v>15</v>
      </c>
      <c r="I298" s="79">
        <v>10</v>
      </c>
    </row>
    <row r="299" s="43" customFormat="1" ht="67.5" spans="1:9">
      <c r="A299" s="57">
        <v>23</v>
      </c>
      <c r="B299" s="30" t="s">
        <v>299</v>
      </c>
      <c r="C299" s="30" t="s">
        <v>291</v>
      </c>
      <c r="D299" s="32" t="s">
        <v>174</v>
      </c>
      <c r="E299" s="86">
        <v>786</v>
      </c>
      <c r="F299" s="70">
        <f t="shared" si="20"/>
        <v>10.5</v>
      </c>
      <c r="G299" s="70">
        <f t="shared" si="21"/>
        <v>8253</v>
      </c>
      <c r="H299" s="68" t="s">
        <v>15</v>
      </c>
      <c r="I299" s="79">
        <v>10</v>
      </c>
    </row>
    <row r="300" s="43" customFormat="1" ht="67.5" spans="1:9">
      <c r="A300" s="57">
        <v>24</v>
      </c>
      <c r="B300" s="30" t="s">
        <v>300</v>
      </c>
      <c r="C300" s="30" t="s">
        <v>291</v>
      </c>
      <c r="D300" s="32" t="s">
        <v>174</v>
      </c>
      <c r="E300" s="86">
        <v>77</v>
      </c>
      <c r="F300" s="70">
        <f t="shared" si="20"/>
        <v>15.75</v>
      </c>
      <c r="G300" s="70">
        <f t="shared" si="21"/>
        <v>1212.75</v>
      </c>
      <c r="H300" s="68" t="s">
        <v>15</v>
      </c>
      <c r="I300" s="79">
        <v>15</v>
      </c>
    </row>
    <row r="301" s="43" customFormat="1" ht="67.5" spans="1:9">
      <c r="A301" s="57">
        <v>25</v>
      </c>
      <c r="B301" s="30" t="s">
        <v>301</v>
      </c>
      <c r="C301" s="30" t="s">
        <v>291</v>
      </c>
      <c r="D301" s="32" t="s">
        <v>174</v>
      </c>
      <c r="E301" s="86">
        <v>23</v>
      </c>
      <c r="F301" s="70">
        <f t="shared" si="20"/>
        <v>10.5</v>
      </c>
      <c r="G301" s="70">
        <f t="shared" si="21"/>
        <v>241.5</v>
      </c>
      <c r="H301" s="68" t="s">
        <v>15</v>
      </c>
      <c r="I301" s="79">
        <v>10</v>
      </c>
    </row>
    <row r="302" s="43" customFormat="1" ht="67.5" spans="1:9">
      <c r="A302" s="57">
        <v>26</v>
      </c>
      <c r="B302" s="30" t="s">
        <v>302</v>
      </c>
      <c r="C302" s="30" t="s">
        <v>291</v>
      </c>
      <c r="D302" s="32" t="s">
        <v>174</v>
      </c>
      <c r="E302" s="86">
        <v>41</v>
      </c>
      <c r="F302" s="70">
        <f t="shared" si="20"/>
        <v>10.5</v>
      </c>
      <c r="G302" s="70">
        <f t="shared" si="21"/>
        <v>430.5</v>
      </c>
      <c r="H302" s="68" t="s">
        <v>15</v>
      </c>
      <c r="I302" s="79">
        <v>10</v>
      </c>
    </row>
    <row r="303" s="43" customFormat="1" ht="56.25" spans="1:9">
      <c r="A303" s="57">
        <v>27</v>
      </c>
      <c r="B303" s="30" t="s">
        <v>303</v>
      </c>
      <c r="C303" s="30" t="s">
        <v>304</v>
      </c>
      <c r="D303" s="32" t="s">
        <v>174</v>
      </c>
      <c r="E303" s="86">
        <v>1195</v>
      </c>
      <c r="F303" s="70">
        <f t="shared" si="20"/>
        <v>5.25</v>
      </c>
      <c r="G303" s="70">
        <f t="shared" si="21"/>
        <v>6273.75</v>
      </c>
      <c r="H303" s="68" t="s">
        <v>15</v>
      </c>
      <c r="I303" s="79">
        <v>5</v>
      </c>
    </row>
    <row r="304" s="43" customFormat="1" ht="56.25" spans="1:9">
      <c r="A304" s="57">
        <v>28</v>
      </c>
      <c r="B304" s="30" t="s">
        <v>305</v>
      </c>
      <c r="C304" s="30" t="s">
        <v>337</v>
      </c>
      <c r="D304" s="32" t="s">
        <v>174</v>
      </c>
      <c r="E304" s="86">
        <v>1582</v>
      </c>
      <c r="F304" s="70">
        <f t="shared" si="20"/>
        <v>5.25</v>
      </c>
      <c r="G304" s="70">
        <f t="shared" si="21"/>
        <v>8305.5</v>
      </c>
      <c r="H304" s="68" t="s">
        <v>15</v>
      </c>
      <c r="I304" s="79">
        <v>5</v>
      </c>
    </row>
    <row r="305" s="43" customFormat="1" ht="56.25" spans="1:9">
      <c r="A305" s="57">
        <v>29</v>
      </c>
      <c r="B305" s="30" t="s">
        <v>306</v>
      </c>
      <c r="C305" s="30" t="s">
        <v>307</v>
      </c>
      <c r="D305" s="32" t="s">
        <v>308</v>
      </c>
      <c r="E305" s="86">
        <v>38</v>
      </c>
      <c r="F305" s="70">
        <f t="shared" si="20"/>
        <v>52.5</v>
      </c>
      <c r="G305" s="70">
        <f t="shared" si="21"/>
        <v>1995</v>
      </c>
      <c r="H305" s="68" t="s">
        <v>15</v>
      </c>
      <c r="I305" s="79">
        <v>50</v>
      </c>
    </row>
    <row r="306" s="43" customFormat="1" ht="56.25" spans="1:9">
      <c r="A306" s="57">
        <v>30</v>
      </c>
      <c r="B306" s="30" t="s">
        <v>309</v>
      </c>
      <c r="C306" s="30" t="s">
        <v>310</v>
      </c>
      <c r="D306" s="32" t="s">
        <v>308</v>
      </c>
      <c r="E306" s="86">
        <v>11</v>
      </c>
      <c r="F306" s="70">
        <f t="shared" si="20"/>
        <v>84</v>
      </c>
      <c r="G306" s="70">
        <f t="shared" si="21"/>
        <v>924</v>
      </c>
      <c r="H306" s="68" t="s">
        <v>15</v>
      </c>
      <c r="I306" s="79">
        <v>80</v>
      </c>
    </row>
    <row r="307" s="43" customFormat="1" ht="101.25" spans="1:9">
      <c r="A307" s="57">
        <v>31</v>
      </c>
      <c r="B307" s="30" t="s">
        <v>311</v>
      </c>
      <c r="C307" s="30" t="s">
        <v>312</v>
      </c>
      <c r="D307" s="32" t="s">
        <v>42</v>
      </c>
      <c r="E307" s="87">
        <v>7096.2065</v>
      </c>
      <c r="F307" s="70">
        <f t="shared" si="20"/>
        <v>8.925</v>
      </c>
      <c r="G307" s="70">
        <f t="shared" si="21"/>
        <v>63333.6430125</v>
      </c>
      <c r="H307" s="68" t="s">
        <v>15</v>
      </c>
      <c r="I307" s="79">
        <v>8.5</v>
      </c>
    </row>
    <row r="308" s="43" customFormat="1" ht="101.25" spans="1:9">
      <c r="A308" s="57">
        <v>32</v>
      </c>
      <c r="B308" s="30" t="s">
        <v>313</v>
      </c>
      <c r="C308" s="30" t="s">
        <v>314</v>
      </c>
      <c r="D308" s="32" t="s">
        <v>42</v>
      </c>
      <c r="E308" s="87">
        <v>1100.556</v>
      </c>
      <c r="F308" s="70">
        <f t="shared" si="20"/>
        <v>8.925</v>
      </c>
      <c r="G308" s="70">
        <f t="shared" si="21"/>
        <v>9822.4623</v>
      </c>
      <c r="H308" s="68" t="s">
        <v>15</v>
      </c>
      <c r="I308" s="79">
        <v>8.5</v>
      </c>
    </row>
    <row r="309" s="43" customFormat="1" ht="101.25" spans="1:9">
      <c r="A309" s="57">
        <v>33</v>
      </c>
      <c r="B309" s="30" t="s">
        <v>315</v>
      </c>
      <c r="C309" s="30" t="s">
        <v>316</v>
      </c>
      <c r="D309" s="32" t="s">
        <v>42</v>
      </c>
      <c r="E309" s="87">
        <v>654.4035</v>
      </c>
      <c r="F309" s="70">
        <f t="shared" si="20"/>
        <v>8.925</v>
      </c>
      <c r="G309" s="70">
        <f t="shared" si="21"/>
        <v>5840.5512375</v>
      </c>
      <c r="H309" s="68" t="s">
        <v>15</v>
      </c>
      <c r="I309" s="79">
        <v>8.5</v>
      </c>
    </row>
    <row r="310" s="43" customFormat="1" ht="101.25" spans="1:9">
      <c r="A310" s="57">
        <v>34</v>
      </c>
      <c r="B310" s="30" t="s">
        <v>317</v>
      </c>
      <c r="C310" s="30" t="s">
        <v>318</v>
      </c>
      <c r="D310" s="32" t="s">
        <v>42</v>
      </c>
      <c r="E310" s="87">
        <v>1424.502</v>
      </c>
      <c r="F310" s="70">
        <f t="shared" si="20"/>
        <v>8.925</v>
      </c>
      <c r="G310" s="70">
        <f t="shared" si="21"/>
        <v>12713.68035</v>
      </c>
      <c r="H310" s="68" t="s">
        <v>15</v>
      </c>
      <c r="I310" s="79">
        <v>8.5</v>
      </c>
    </row>
    <row r="311" s="43" customFormat="1" ht="101.25" spans="1:9">
      <c r="A311" s="57">
        <v>35</v>
      </c>
      <c r="B311" s="30" t="s">
        <v>319</v>
      </c>
      <c r="C311" s="30" t="s">
        <v>320</v>
      </c>
      <c r="D311" s="32" t="s">
        <v>42</v>
      </c>
      <c r="E311" s="87">
        <v>15.075</v>
      </c>
      <c r="F311" s="70">
        <f t="shared" si="20"/>
        <v>8.925</v>
      </c>
      <c r="G311" s="70">
        <f t="shared" si="21"/>
        <v>134.544375</v>
      </c>
      <c r="H311" s="68" t="s">
        <v>15</v>
      </c>
      <c r="I311" s="79">
        <v>8.5</v>
      </c>
    </row>
    <row r="312" s="43" customFormat="1" ht="67.5" spans="1:9">
      <c r="A312" s="57">
        <v>36</v>
      </c>
      <c r="B312" s="30" t="s">
        <v>321</v>
      </c>
      <c r="C312" s="30" t="s">
        <v>322</v>
      </c>
      <c r="D312" s="32" t="s">
        <v>42</v>
      </c>
      <c r="E312" s="87">
        <v>134.6085</v>
      </c>
      <c r="F312" s="70">
        <f t="shared" si="20"/>
        <v>2.1</v>
      </c>
      <c r="G312" s="70">
        <f t="shared" si="21"/>
        <v>282.67785</v>
      </c>
      <c r="H312" s="68" t="s">
        <v>15</v>
      </c>
      <c r="I312" s="79">
        <v>2</v>
      </c>
    </row>
    <row r="313" s="43" customFormat="1" ht="67.5" spans="1:9">
      <c r="A313" s="57">
        <v>37</v>
      </c>
      <c r="B313" s="30" t="s">
        <v>323</v>
      </c>
      <c r="C313" s="30" t="s">
        <v>322</v>
      </c>
      <c r="D313" s="32" t="s">
        <v>42</v>
      </c>
      <c r="E313" s="87">
        <v>0.1215</v>
      </c>
      <c r="F313" s="70">
        <f t="shared" si="20"/>
        <v>2.1</v>
      </c>
      <c r="G313" s="70">
        <f t="shared" si="21"/>
        <v>0.25515</v>
      </c>
      <c r="H313" s="68" t="s">
        <v>15</v>
      </c>
      <c r="I313" s="79">
        <v>2</v>
      </c>
    </row>
    <row r="314" s="43" customFormat="1" ht="67.5" spans="1:9">
      <c r="A314" s="57">
        <v>38</v>
      </c>
      <c r="B314" s="30" t="s">
        <v>324</v>
      </c>
      <c r="C314" s="30" t="s">
        <v>325</v>
      </c>
      <c r="D314" s="32" t="s">
        <v>42</v>
      </c>
      <c r="E314" s="87">
        <v>28359.1025</v>
      </c>
      <c r="F314" s="70">
        <f t="shared" si="20"/>
        <v>2.1</v>
      </c>
      <c r="G314" s="70">
        <f t="shared" si="21"/>
        <v>59554.11525</v>
      </c>
      <c r="H314" s="68" t="s">
        <v>15</v>
      </c>
      <c r="I314" s="79">
        <v>2</v>
      </c>
    </row>
    <row r="315" s="43" customFormat="1" ht="67.5" spans="1:9">
      <c r="A315" s="57">
        <v>39</v>
      </c>
      <c r="B315" s="30" t="s">
        <v>326</v>
      </c>
      <c r="C315" s="30" t="s">
        <v>327</v>
      </c>
      <c r="D315" s="32" t="s">
        <v>42</v>
      </c>
      <c r="E315" s="87">
        <v>6821.4285</v>
      </c>
      <c r="F315" s="70">
        <f t="shared" si="20"/>
        <v>2.1</v>
      </c>
      <c r="G315" s="70">
        <f t="shared" si="21"/>
        <v>14324.99985</v>
      </c>
      <c r="H315" s="68" t="s">
        <v>15</v>
      </c>
      <c r="I315" s="79">
        <v>2</v>
      </c>
    </row>
    <row r="316" s="43" customFormat="1" ht="67.5" spans="1:9">
      <c r="A316" s="57">
        <v>40</v>
      </c>
      <c r="B316" s="30" t="s">
        <v>328</v>
      </c>
      <c r="C316" s="30" t="s">
        <v>329</v>
      </c>
      <c r="D316" s="32" t="s">
        <v>42</v>
      </c>
      <c r="E316" s="87">
        <v>46.44</v>
      </c>
      <c r="F316" s="70">
        <f t="shared" si="20"/>
        <v>2.1</v>
      </c>
      <c r="G316" s="70">
        <f t="shared" si="21"/>
        <v>97.524</v>
      </c>
      <c r="H316" s="68" t="s">
        <v>15</v>
      </c>
      <c r="I316" s="79">
        <v>2</v>
      </c>
    </row>
    <row r="317" s="43" customFormat="1" ht="67.5" spans="1:9">
      <c r="A317" s="57">
        <v>41</v>
      </c>
      <c r="B317" s="30" t="s">
        <v>330</v>
      </c>
      <c r="C317" s="30" t="s">
        <v>331</v>
      </c>
      <c r="D317" s="32" t="s">
        <v>42</v>
      </c>
      <c r="E317" s="87">
        <v>457.7265</v>
      </c>
      <c r="F317" s="70">
        <f t="shared" si="20"/>
        <v>2.1</v>
      </c>
      <c r="G317" s="70">
        <f t="shared" si="21"/>
        <v>961.22565</v>
      </c>
      <c r="H317" s="68" t="s">
        <v>15</v>
      </c>
      <c r="I317" s="79">
        <v>2</v>
      </c>
    </row>
    <row r="318" s="43" customFormat="1" ht="33" customHeight="1" spans="1:9">
      <c r="A318" s="57">
        <v>42</v>
      </c>
      <c r="B318" s="30" t="s">
        <v>334</v>
      </c>
      <c r="C318" s="30"/>
      <c r="D318" s="32" t="s">
        <v>42</v>
      </c>
      <c r="E318" s="87">
        <v>748.44</v>
      </c>
      <c r="F318" s="70">
        <f t="shared" si="20"/>
        <v>18.9</v>
      </c>
      <c r="G318" s="70">
        <f t="shared" si="21"/>
        <v>14145.516</v>
      </c>
      <c r="H318" s="68" t="s">
        <v>15</v>
      </c>
      <c r="I318" s="79">
        <v>18</v>
      </c>
    </row>
    <row r="319" s="42" customFormat="1" ht="21" customHeight="1" spans="1:9">
      <c r="A319" s="84" t="s">
        <v>338</v>
      </c>
      <c r="B319" s="91" t="s">
        <v>339</v>
      </c>
      <c r="C319" s="92"/>
      <c r="D319" s="93"/>
      <c r="E319" s="85"/>
      <c r="F319" s="70"/>
      <c r="G319" s="82">
        <f>SUM(G320:G342)</f>
        <v>35025.7215</v>
      </c>
      <c r="H319" s="64"/>
      <c r="I319" s="88"/>
    </row>
    <row r="320" s="43" customFormat="1" ht="90" spans="1:9">
      <c r="A320" s="57">
        <v>1</v>
      </c>
      <c r="B320" s="39" t="s">
        <v>340</v>
      </c>
      <c r="C320" s="39" t="s">
        <v>341</v>
      </c>
      <c r="D320" s="94" t="s">
        <v>42</v>
      </c>
      <c r="E320" s="94">
        <v>477.546</v>
      </c>
      <c r="F320" s="70">
        <f t="shared" si="20"/>
        <v>15.75</v>
      </c>
      <c r="G320" s="70">
        <f t="shared" ref="G320:G342" si="22">F320*E320</f>
        <v>7521.3495</v>
      </c>
      <c r="H320" s="68" t="s">
        <v>15</v>
      </c>
      <c r="I320" s="79">
        <v>15</v>
      </c>
    </row>
    <row r="321" s="43" customFormat="1" ht="90" spans="1:9">
      <c r="A321" s="57">
        <v>2</v>
      </c>
      <c r="B321" s="39" t="s">
        <v>342</v>
      </c>
      <c r="C321" s="39" t="s">
        <v>343</v>
      </c>
      <c r="D321" s="94" t="s">
        <v>42</v>
      </c>
      <c r="E321" s="94">
        <v>34.008</v>
      </c>
      <c r="F321" s="70">
        <f t="shared" si="20"/>
        <v>15.75</v>
      </c>
      <c r="G321" s="70">
        <f t="shared" si="22"/>
        <v>535.626</v>
      </c>
      <c r="H321" s="68" t="s">
        <v>15</v>
      </c>
      <c r="I321" s="79">
        <v>15</v>
      </c>
    </row>
    <row r="322" s="43" customFormat="1" ht="90" spans="1:9">
      <c r="A322" s="57">
        <v>3</v>
      </c>
      <c r="B322" s="39" t="s">
        <v>344</v>
      </c>
      <c r="C322" s="39" t="s">
        <v>345</v>
      </c>
      <c r="D322" s="94" t="s">
        <v>42</v>
      </c>
      <c r="E322" s="94">
        <v>89.244</v>
      </c>
      <c r="F322" s="70">
        <f t="shared" si="20"/>
        <v>15.75</v>
      </c>
      <c r="G322" s="70">
        <f t="shared" si="22"/>
        <v>1405.593</v>
      </c>
      <c r="H322" s="68" t="s">
        <v>15</v>
      </c>
      <c r="I322" s="79">
        <v>15</v>
      </c>
    </row>
    <row r="323" s="43" customFormat="1" ht="90" spans="1:9">
      <c r="A323" s="57">
        <v>4</v>
      </c>
      <c r="B323" s="39" t="s">
        <v>346</v>
      </c>
      <c r="C323" s="39" t="s">
        <v>347</v>
      </c>
      <c r="D323" s="94" t="s">
        <v>42</v>
      </c>
      <c r="E323" s="94">
        <v>15.594</v>
      </c>
      <c r="F323" s="70">
        <f t="shared" si="20"/>
        <v>15.75</v>
      </c>
      <c r="G323" s="70">
        <f t="shared" si="22"/>
        <v>245.6055</v>
      </c>
      <c r="H323" s="68" t="s">
        <v>15</v>
      </c>
      <c r="I323" s="79">
        <v>15</v>
      </c>
    </row>
    <row r="324" s="43" customFormat="1" ht="90" spans="1:9">
      <c r="A324" s="57">
        <v>5</v>
      </c>
      <c r="B324" s="39" t="s">
        <v>348</v>
      </c>
      <c r="C324" s="39" t="s">
        <v>349</v>
      </c>
      <c r="D324" s="94" t="s">
        <v>42</v>
      </c>
      <c r="E324" s="94">
        <v>83.19</v>
      </c>
      <c r="F324" s="70">
        <f t="shared" si="20"/>
        <v>15.75</v>
      </c>
      <c r="G324" s="70">
        <f t="shared" si="22"/>
        <v>1310.2425</v>
      </c>
      <c r="H324" s="68" t="s">
        <v>15</v>
      </c>
      <c r="I324" s="79">
        <v>15</v>
      </c>
    </row>
    <row r="325" s="43" customFormat="1" ht="90" spans="1:9">
      <c r="A325" s="57">
        <v>6</v>
      </c>
      <c r="B325" s="39" t="s">
        <v>350</v>
      </c>
      <c r="C325" s="39" t="s">
        <v>351</v>
      </c>
      <c r="D325" s="94" t="s">
        <v>42</v>
      </c>
      <c r="E325" s="94">
        <v>21.786</v>
      </c>
      <c r="F325" s="70">
        <f t="shared" si="20"/>
        <v>15.75</v>
      </c>
      <c r="G325" s="70">
        <f t="shared" si="22"/>
        <v>343.1295</v>
      </c>
      <c r="H325" s="68" t="s">
        <v>15</v>
      </c>
      <c r="I325" s="79">
        <v>15</v>
      </c>
    </row>
    <row r="326" s="43" customFormat="1" ht="90" spans="1:9">
      <c r="A326" s="57">
        <v>7</v>
      </c>
      <c r="B326" s="39" t="s">
        <v>352</v>
      </c>
      <c r="C326" s="39" t="s">
        <v>353</v>
      </c>
      <c r="D326" s="94" t="s">
        <v>42</v>
      </c>
      <c r="E326" s="94">
        <v>1.35</v>
      </c>
      <c r="F326" s="70">
        <f t="shared" ref="F326:F389" si="23">I326*1.05</f>
        <v>15.75</v>
      </c>
      <c r="G326" s="70">
        <f t="shared" si="22"/>
        <v>21.2625</v>
      </c>
      <c r="H326" s="68" t="s">
        <v>15</v>
      </c>
      <c r="I326" s="79">
        <v>15</v>
      </c>
    </row>
    <row r="327" s="43" customFormat="1" ht="67.5" spans="1:9">
      <c r="A327" s="57">
        <v>8</v>
      </c>
      <c r="B327" s="39" t="s">
        <v>354</v>
      </c>
      <c r="C327" s="39" t="s">
        <v>355</v>
      </c>
      <c r="D327" s="94" t="s">
        <v>42</v>
      </c>
      <c r="E327" s="94">
        <v>51.45</v>
      </c>
      <c r="F327" s="70">
        <f t="shared" si="23"/>
        <v>15.75</v>
      </c>
      <c r="G327" s="70">
        <f t="shared" si="22"/>
        <v>810.3375</v>
      </c>
      <c r="H327" s="68" t="s">
        <v>15</v>
      </c>
      <c r="I327" s="79">
        <v>15</v>
      </c>
    </row>
    <row r="328" s="43" customFormat="1" ht="67.5" spans="1:9">
      <c r="A328" s="57">
        <v>9</v>
      </c>
      <c r="B328" s="39" t="s">
        <v>356</v>
      </c>
      <c r="C328" s="39" t="s">
        <v>357</v>
      </c>
      <c r="D328" s="94" t="s">
        <v>42</v>
      </c>
      <c r="E328" s="94">
        <v>112.368</v>
      </c>
      <c r="F328" s="70">
        <f t="shared" si="23"/>
        <v>15.75</v>
      </c>
      <c r="G328" s="70">
        <f t="shared" si="22"/>
        <v>1769.796</v>
      </c>
      <c r="H328" s="68" t="s">
        <v>15</v>
      </c>
      <c r="I328" s="79">
        <v>15</v>
      </c>
    </row>
    <row r="329" s="43" customFormat="1" ht="67.5" spans="1:9">
      <c r="A329" s="57">
        <v>10</v>
      </c>
      <c r="B329" s="39" t="s">
        <v>358</v>
      </c>
      <c r="C329" s="39" t="s">
        <v>359</v>
      </c>
      <c r="D329" s="94" t="s">
        <v>42</v>
      </c>
      <c r="E329" s="94">
        <v>229.986</v>
      </c>
      <c r="F329" s="70">
        <f t="shared" si="23"/>
        <v>15.75</v>
      </c>
      <c r="G329" s="70">
        <f t="shared" si="22"/>
        <v>3622.2795</v>
      </c>
      <c r="H329" s="68" t="s">
        <v>15</v>
      </c>
      <c r="I329" s="79">
        <v>15</v>
      </c>
    </row>
    <row r="330" s="43" customFormat="1" ht="67.5" spans="1:9">
      <c r="A330" s="57">
        <v>11</v>
      </c>
      <c r="B330" s="39" t="s">
        <v>360</v>
      </c>
      <c r="C330" s="39" t="s">
        <v>361</v>
      </c>
      <c r="D330" s="94" t="s">
        <v>174</v>
      </c>
      <c r="E330" s="94">
        <v>1</v>
      </c>
      <c r="F330" s="70">
        <f t="shared" si="23"/>
        <v>10.5</v>
      </c>
      <c r="G330" s="70">
        <f t="shared" si="22"/>
        <v>10.5</v>
      </c>
      <c r="H330" s="68" t="s">
        <v>15</v>
      </c>
      <c r="I330" s="79">
        <v>10</v>
      </c>
    </row>
    <row r="331" s="43" customFormat="1" ht="67.5" spans="1:9">
      <c r="A331" s="57">
        <v>12</v>
      </c>
      <c r="B331" s="39" t="s">
        <v>362</v>
      </c>
      <c r="C331" s="39" t="s">
        <v>363</v>
      </c>
      <c r="D331" s="94" t="s">
        <v>174</v>
      </c>
      <c r="E331" s="94">
        <v>2</v>
      </c>
      <c r="F331" s="70">
        <f t="shared" si="23"/>
        <v>10.5</v>
      </c>
      <c r="G331" s="70">
        <f t="shared" si="22"/>
        <v>21</v>
      </c>
      <c r="H331" s="68" t="s">
        <v>15</v>
      </c>
      <c r="I331" s="79">
        <v>10</v>
      </c>
    </row>
    <row r="332" s="43" customFormat="1" ht="56.25" spans="1:9">
      <c r="A332" s="57">
        <v>13</v>
      </c>
      <c r="B332" s="39" t="s">
        <v>364</v>
      </c>
      <c r="C332" s="39" t="s">
        <v>365</v>
      </c>
      <c r="D332" s="94" t="s">
        <v>174</v>
      </c>
      <c r="E332" s="94">
        <v>4</v>
      </c>
      <c r="F332" s="70">
        <f t="shared" si="23"/>
        <v>10.5</v>
      </c>
      <c r="G332" s="70">
        <f t="shared" si="22"/>
        <v>42</v>
      </c>
      <c r="H332" s="68" t="s">
        <v>15</v>
      </c>
      <c r="I332" s="79">
        <v>10</v>
      </c>
    </row>
    <row r="333" s="43" customFormat="1" ht="56.25" spans="1:9">
      <c r="A333" s="57">
        <v>14</v>
      </c>
      <c r="B333" s="39" t="s">
        <v>366</v>
      </c>
      <c r="C333" s="39" t="s">
        <v>367</v>
      </c>
      <c r="D333" s="94" t="s">
        <v>174</v>
      </c>
      <c r="E333" s="94">
        <v>19</v>
      </c>
      <c r="F333" s="70">
        <f t="shared" si="23"/>
        <v>10.5</v>
      </c>
      <c r="G333" s="70">
        <f t="shared" si="22"/>
        <v>199.5</v>
      </c>
      <c r="H333" s="68" t="s">
        <v>15</v>
      </c>
      <c r="I333" s="79">
        <v>10</v>
      </c>
    </row>
    <row r="334" s="43" customFormat="1" ht="45" spans="1:9">
      <c r="A334" s="57">
        <v>15</v>
      </c>
      <c r="B334" s="39" t="s">
        <v>368</v>
      </c>
      <c r="C334" s="39" t="s">
        <v>369</v>
      </c>
      <c r="D334" s="94" t="s">
        <v>174</v>
      </c>
      <c r="E334" s="94">
        <v>20</v>
      </c>
      <c r="F334" s="70">
        <f t="shared" si="23"/>
        <v>10.5</v>
      </c>
      <c r="G334" s="70">
        <f t="shared" si="22"/>
        <v>210</v>
      </c>
      <c r="H334" s="68" t="s">
        <v>15</v>
      </c>
      <c r="I334" s="79">
        <v>10</v>
      </c>
    </row>
    <row r="335" s="43" customFormat="1" ht="78.75" spans="1:9">
      <c r="A335" s="57">
        <v>16</v>
      </c>
      <c r="B335" s="39" t="s">
        <v>370</v>
      </c>
      <c r="C335" s="39" t="s">
        <v>371</v>
      </c>
      <c r="D335" s="94" t="s">
        <v>372</v>
      </c>
      <c r="E335" s="94">
        <v>36</v>
      </c>
      <c r="F335" s="70">
        <f t="shared" si="23"/>
        <v>84</v>
      </c>
      <c r="G335" s="70">
        <f t="shared" si="22"/>
        <v>3024</v>
      </c>
      <c r="H335" s="68" t="s">
        <v>15</v>
      </c>
      <c r="I335" s="79">
        <v>80</v>
      </c>
    </row>
    <row r="336" s="43" customFormat="1" ht="78.75" spans="1:9">
      <c r="A336" s="57">
        <v>17</v>
      </c>
      <c r="B336" s="39" t="s">
        <v>373</v>
      </c>
      <c r="C336" s="39" t="s">
        <v>374</v>
      </c>
      <c r="D336" s="94" t="s">
        <v>372</v>
      </c>
      <c r="E336" s="94">
        <v>1</v>
      </c>
      <c r="F336" s="70">
        <f t="shared" si="23"/>
        <v>84</v>
      </c>
      <c r="G336" s="70">
        <f t="shared" si="22"/>
        <v>84</v>
      </c>
      <c r="H336" s="68" t="s">
        <v>15</v>
      </c>
      <c r="I336" s="79">
        <v>80</v>
      </c>
    </row>
    <row r="337" s="43" customFormat="1" ht="56.25" spans="1:9">
      <c r="A337" s="57">
        <v>18</v>
      </c>
      <c r="B337" s="39" t="s">
        <v>375</v>
      </c>
      <c r="C337" s="39" t="s">
        <v>376</v>
      </c>
      <c r="D337" s="94" t="s">
        <v>372</v>
      </c>
      <c r="E337" s="94">
        <v>29</v>
      </c>
      <c r="F337" s="70">
        <f t="shared" si="23"/>
        <v>136.5</v>
      </c>
      <c r="G337" s="70">
        <f t="shared" si="22"/>
        <v>3958.5</v>
      </c>
      <c r="H337" s="68" t="s">
        <v>15</v>
      </c>
      <c r="I337" s="79">
        <v>130</v>
      </c>
    </row>
    <row r="338" s="43" customFormat="1" ht="67.5" spans="1:9">
      <c r="A338" s="57">
        <v>19</v>
      </c>
      <c r="B338" s="39" t="s">
        <v>377</v>
      </c>
      <c r="C338" s="39" t="s">
        <v>378</v>
      </c>
      <c r="D338" s="94" t="s">
        <v>372</v>
      </c>
      <c r="E338" s="94">
        <v>64</v>
      </c>
      <c r="F338" s="70">
        <f t="shared" si="23"/>
        <v>126</v>
      </c>
      <c r="G338" s="70">
        <f t="shared" si="22"/>
        <v>8064</v>
      </c>
      <c r="H338" s="68" t="s">
        <v>15</v>
      </c>
      <c r="I338" s="79">
        <v>120</v>
      </c>
    </row>
    <row r="339" s="43" customFormat="1" ht="56.25" spans="1:9">
      <c r="A339" s="57">
        <v>20</v>
      </c>
      <c r="B339" s="39" t="s">
        <v>379</v>
      </c>
      <c r="C339" s="39" t="s">
        <v>380</v>
      </c>
      <c r="D339" s="94" t="s">
        <v>308</v>
      </c>
      <c r="E339" s="94">
        <v>6</v>
      </c>
      <c r="F339" s="70">
        <f t="shared" si="23"/>
        <v>63</v>
      </c>
      <c r="G339" s="70">
        <f t="shared" si="22"/>
        <v>378</v>
      </c>
      <c r="H339" s="68" t="s">
        <v>15</v>
      </c>
      <c r="I339" s="79">
        <v>60</v>
      </c>
    </row>
    <row r="340" s="43" customFormat="1" ht="56.25" spans="1:9">
      <c r="A340" s="57">
        <v>21</v>
      </c>
      <c r="B340" s="39" t="s">
        <v>381</v>
      </c>
      <c r="C340" s="39" t="s">
        <v>382</v>
      </c>
      <c r="D340" s="94" t="s">
        <v>308</v>
      </c>
      <c r="E340" s="94">
        <v>14</v>
      </c>
      <c r="F340" s="70">
        <f t="shared" si="23"/>
        <v>63</v>
      </c>
      <c r="G340" s="70">
        <f t="shared" si="22"/>
        <v>882</v>
      </c>
      <c r="H340" s="68" t="s">
        <v>15</v>
      </c>
      <c r="I340" s="79">
        <v>60</v>
      </c>
    </row>
    <row r="341" s="43" customFormat="1" ht="56.25" spans="1:9">
      <c r="A341" s="57">
        <v>22</v>
      </c>
      <c r="B341" s="39" t="s">
        <v>383</v>
      </c>
      <c r="C341" s="39" t="s">
        <v>384</v>
      </c>
      <c r="D341" s="94" t="s">
        <v>372</v>
      </c>
      <c r="E341" s="94">
        <v>6</v>
      </c>
      <c r="F341" s="70">
        <f t="shared" si="23"/>
        <v>52.5</v>
      </c>
      <c r="G341" s="70">
        <f t="shared" si="22"/>
        <v>315</v>
      </c>
      <c r="H341" s="68" t="s">
        <v>15</v>
      </c>
      <c r="I341" s="79">
        <v>50</v>
      </c>
    </row>
    <row r="342" s="43" customFormat="1" ht="56.25" spans="1:9">
      <c r="A342" s="57">
        <v>23</v>
      </c>
      <c r="B342" s="39" t="s">
        <v>385</v>
      </c>
      <c r="C342" s="39" t="s">
        <v>386</v>
      </c>
      <c r="D342" s="94" t="s">
        <v>372</v>
      </c>
      <c r="E342" s="94">
        <v>2</v>
      </c>
      <c r="F342" s="70">
        <f t="shared" si="23"/>
        <v>126</v>
      </c>
      <c r="G342" s="70">
        <f t="shared" si="22"/>
        <v>252</v>
      </c>
      <c r="H342" s="68" t="s">
        <v>15</v>
      </c>
      <c r="I342" s="79">
        <v>120</v>
      </c>
    </row>
    <row r="343" s="42" customFormat="1" ht="22" customHeight="1" spans="1:9">
      <c r="A343" s="84" t="s">
        <v>387</v>
      </c>
      <c r="B343" s="91" t="s">
        <v>388</v>
      </c>
      <c r="C343" s="92"/>
      <c r="D343" s="90"/>
      <c r="E343" s="81"/>
      <c r="F343" s="70"/>
      <c r="G343" s="82">
        <f>SUM(G344:G364)</f>
        <v>22727.481</v>
      </c>
      <c r="H343" s="64"/>
      <c r="I343" s="88"/>
    </row>
    <row r="344" s="43" customFormat="1" ht="90" spans="1:9">
      <c r="A344" s="57">
        <v>1</v>
      </c>
      <c r="B344" s="39" t="s">
        <v>340</v>
      </c>
      <c r="C344" s="39" t="s">
        <v>341</v>
      </c>
      <c r="D344" s="94" t="s">
        <v>42</v>
      </c>
      <c r="E344" s="94">
        <v>318.364</v>
      </c>
      <c r="F344" s="70">
        <f t="shared" si="23"/>
        <v>15.75</v>
      </c>
      <c r="G344" s="70">
        <f t="shared" ref="G344:G364" si="24">F344*E344</f>
        <v>5014.233</v>
      </c>
      <c r="H344" s="68" t="s">
        <v>15</v>
      </c>
      <c r="I344" s="79">
        <v>15</v>
      </c>
    </row>
    <row r="345" s="43" customFormat="1" ht="90" spans="1:9">
      <c r="A345" s="57">
        <v>2</v>
      </c>
      <c r="B345" s="39" t="s">
        <v>342</v>
      </c>
      <c r="C345" s="39" t="s">
        <v>343</v>
      </c>
      <c r="D345" s="94" t="s">
        <v>42</v>
      </c>
      <c r="E345" s="94">
        <v>22.672</v>
      </c>
      <c r="F345" s="70">
        <f t="shared" si="23"/>
        <v>15.75</v>
      </c>
      <c r="G345" s="70">
        <f t="shared" si="24"/>
        <v>357.084</v>
      </c>
      <c r="H345" s="68" t="s">
        <v>15</v>
      </c>
      <c r="I345" s="79">
        <v>15</v>
      </c>
    </row>
    <row r="346" s="43" customFormat="1" ht="90" spans="1:9">
      <c r="A346" s="57">
        <v>3</v>
      </c>
      <c r="B346" s="39" t="s">
        <v>344</v>
      </c>
      <c r="C346" s="39" t="s">
        <v>345</v>
      </c>
      <c r="D346" s="94" t="s">
        <v>42</v>
      </c>
      <c r="E346" s="94">
        <v>59.496</v>
      </c>
      <c r="F346" s="70">
        <f t="shared" si="23"/>
        <v>15.75</v>
      </c>
      <c r="G346" s="70">
        <f t="shared" si="24"/>
        <v>937.062</v>
      </c>
      <c r="H346" s="68" t="s">
        <v>15</v>
      </c>
      <c r="I346" s="79">
        <v>15</v>
      </c>
    </row>
    <row r="347" s="43" customFormat="1" ht="90" spans="1:9">
      <c r="A347" s="57">
        <v>4</v>
      </c>
      <c r="B347" s="39" t="s">
        <v>346</v>
      </c>
      <c r="C347" s="39" t="s">
        <v>347</v>
      </c>
      <c r="D347" s="94" t="s">
        <v>42</v>
      </c>
      <c r="E347" s="94">
        <v>10.396</v>
      </c>
      <c r="F347" s="70">
        <f t="shared" si="23"/>
        <v>15.75</v>
      </c>
      <c r="G347" s="70">
        <f t="shared" si="24"/>
        <v>163.737</v>
      </c>
      <c r="H347" s="68" t="s">
        <v>15</v>
      </c>
      <c r="I347" s="79">
        <v>15</v>
      </c>
    </row>
    <row r="348" s="43" customFormat="1" ht="90" spans="1:9">
      <c r="A348" s="57">
        <v>5</v>
      </c>
      <c r="B348" s="39" t="s">
        <v>348</v>
      </c>
      <c r="C348" s="39" t="s">
        <v>349</v>
      </c>
      <c r="D348" s="94" t="s">
        <v>42</v>
      </c>
      <c r="E348" s="94">
        <v>55.46</v>
      </c>
      <c r="F348" s="70">
        <f t="shared" si="23"/>
        <v>15.75</v>
      </c>
      <c r="G348" s="70">
        <f t="shared" si="24"/>
        <v>873.495</v>
      </c>
      <c r="H348" s="68" t="s">
        <v>15</v>
      </c>
      <c r="I348" s="79">
        <v>15</v>
      </c>
    </row>
    <row r="349" s="43" customFormat="1" ht="90" spans="1:9">
      <c r="A349" s="57">
        <v>6</v>
      </c>
      <c r="B349" s="39" t="s">
        <v>350</v>
      </c>
      <c r="C349" s="39" t="s">
        <v>351</v>
      </c>
      <c r="D349" s="94" t="s">
        <v>42</v>
      </c>
      <c r="E349" s="94">
        <v>14.524</v>
      </c>
      <c r="F349" s="70">
        <f t="shared" si="23"/>
        <v>15.75</v>
      </c>
      <c r="G349" s="70">
        <f t="shared" si="24"/>
        <v>228.753</v>
      </c>
      <c r="H349" s="68" t="s">
        <v>15</v>
      </c>
      <c r="I349" s="79">
        <v>15</v>
      </c>
    </row>
    <row r="350" s="43" customFormat="1" ht="90" spans="1:9">
      <c r="A350" s="57">
        <v>7</v>
      </c>
      <c r="B350" s="39" t="s">
        <v>352</v>
      </c>
      <c r="C350" s="39" t="s">
        <v>353</v>
      </c>
      <c r="D350" s="94" t="s">
        <v>42</v>
      </c>
      <c r="E350" s="94">
        <v>0.9</v>
      </c>
      <c r="F350" s="70">
        <f t="shared" si="23"/>
        <v>15.75</v>
      </c>
      <c r="G350" s="70">
        <f t="shared" si="24"/>
        <v>14.175</v>
      </c>
      <c r="H350" s="68" t="s">
        <v>15</v>
      </c>
      <c r="I350" s="79">
        <v>15</v>
      </c>
    </row>
    <row r="351" s="43" customFormat="1" ht="67.5" spans="1:9">
      <c r="A351" s="57">
        <v>8</v>
      </c>
      <c r="B351" s="39" t="s">
        <v>354</v>
      </c>
      <c r="C351" s="39" t="s">
        <v>355</v>
      </c>
      <c r="D351" s="94" t="s">
        <v>42</v>
      </c>
      <c r="E351" s="94">
        <v>34.3</v>
      </c>
      <c r="F351" s="70">
        <f t="shared" si="23"/>
        <v>15.75</v>
      </c>
      <c r="G351" s="70">
        <f t="shared" si="24"/>
        <v>540.225</v>
      </c>
      <c r="H351" s="68" t="s">
        <v>15</v>
      </c>
      <c r="I351" s="79">
        <v>15</v>
      </c>
    </row>
    <row r="352" s="43" customFormat="1" ht="67.5" spans="1:9">
      <c r="A352" s="57">
        <v>9</v>
      </c>
      <c r="B352" s="39" t="s">
        <v>356</v>
      </c>
      <c r="C352" s="39" t="s">
        <v>357</v>
      </c>
      <c r="D352" s="94" t="s">
        <v>42</v>
      </c>
      <c r="E352" s="94">
        <v>74.912</v>
      </c>
      <c r="F352" s="70">
        <f t="shared" si="23"/>
        <v>15.75</v>
      </c>
      <c r="G352" s="70">
        <f t="shared" si="24"/>
        <v>1179.864</v>
      </c>
      <c r="H352" s="68" t="s">
        <v>15</v>
      </c>
      <c r="I352" s="79">
        <v>15</v>
      </c>
    </row>
    <row r="353" s="43" customFormat="1" ht="67.5" spans="1:9">
      <c r="A353" s="57">
        <v>10</v>
      </c>
      <c r="B353" s="39" t="s">
        <v>358</v>
      </c>
      <c r="C353" s="39" t="s">
        <v>359</v>
      </c>
      <c r="D353" s="94" t="s">
        <v>42</v>
      </c>
      <c r="E353" s="94">
        <v>153.324</v>
      </c>
      <c r="F353" s="70">
        <f t="shared" si="23"/>
        <v>15.75</v>
      </c>
      <c r="G353" s="70">
        <f t="shared" si="24"/>
        <v>2414.853</v>
      </c>
      <c r="H353" s="68" t="s">
        <v>15</v>
      </c>
      <c r="I353" s="79">
        <v>15</v>
      </c>
    </row>
    <row r="354" s="43" customFormat="1" ht="67.5" spans="1:9">
      <c r="A354" s="57">
        <v>11</v>
      </c>
      <c r="B354" s="39" t="s">
        <v>362</v>
      </c>
      <c r="C354" s="39" t="s">
        <v>363</v>
      </c>
      <c r="D354" s="94" t="s">
        <v>174</v>
      </c>
      <c r="E354" s="94">
        <v>1</v>
      </c>
      <c r="F354" s="70">
        <f t="shared" si="23"/>
        <v>10.5</v>
      </c>
      <c r="G354" s="70">
        <f t="shared" si="24"/>
        <v>10.5</v>
      </c>
      <c r="H354" s="68" t="s">
        <v>15</v>
      </c>
      <c r="I354" s="79">
        <v>10</v>
      </c>
    </row>
    <row r="355" s="43" customFormat="1" ht="56.25" spans="1:9">
      <c r="A355" s="57">
        <v>12</v>
      </c>
      <c r="B355" s="39" t="s">
        <v>364</v>
      </c>
      <c r="C355" s="39" t="s">
        <v>365</v>
      </c>
      <c r="D355" s="94" t="s">
        <v>174</v>
      </c>
      <c r="E355" s="94">
        <v>2</v>
      </c>
      <c r="F355" s="70">
        <f t="shared" si="23"/>
        <v>10.5</v>
      </c>
      <c r="G355" s="70">
        <f t="shared" si="24"/>
        <v>21</v>
      </c>
      <c r="H355" s="68" t="s">
        <v>15</v>
      </c>
      <c r="I355" s="79">
        <v>10</v>
      </c>
    </row>
    <row r="356" s="43" customFormat="1" ht="56.25" spans="1:9">
      <c r="A356" s="57">
        <v>13</v>
      </c>
      <c r="B356" s="39" t="s">
        <v>366</v>
      </c>
      <c r="C356" s="39" t="s">
        <v>367</v>
      </c>
      <c r="D356" s="94" t="s">
        <v>174</v>
      </c>
      <c r="E356" s="94">
        <v>12</v>
      </c>
      <c r="F356" s="70">
        <f t="shared" si="23"/>
        <v>10.5</v>
      </c>
      <c r="G356" s="70">
        <f t="shared" si="24"/>
        <v>126</v>
      </c>
      <c r="H356" s="68" t="s">
        <v>15</v>
      </c>
      <c r="I356" s="79">
        <v>10</v>
      </c>
    </row>
    <row r="357" s="43" customFormat="1" ht="45" spans="1:9">
      <c r="A357" s="57">
        <v>14</v>
      </c>
      <c r="B357" s="39" t="s">
        <v>368</v>
      </c>
      <c r="C357" s="39" t="s">
        <v>369</v>
      </c>
      <c r="D357" s="94" t="s">
        <v>174</v>
      </c>
      <c r="E357" s="94">
        <v>12</v>
      </c>
      <c r="F357" s="70">
        <f t="shared" si="23"/>
        <v>10.5</v>
      </c>
      <c r="G357" s="70">
        <f t="shared" si="24"/>
        <v>126</v>
      </c>
      <c r="H357" s="68" t="s">
        <v>15</v>
      </c>
      <c r="I357" s="79">
        <v>10</v>
      </c>
    </row>
    <row r="358" s="43" customFormat="1" ht="78.75" spans="1:9">
      <c r="A358" s="57">
        <v>15</v>
      </c>
      <c r="B358" s="39" t="s">
        <v>370</v>
      </c>
      <c r="C358" s="39" t="s">
        <v>371</v>
      </c>
      <c r="D358" s="94" t="s">
        <v>372</v>
      </c>
      <c r="E358" s="94">
        <v>23</v>
      </c>
      <c r="F358" s="70">
        <f t="shared" si="23"/>
        <v>84</v>
      </c>
      <c r="G358" s="70">
        <f t="shared" si="24"/>
        <v>1932</v>
      </c>
      <c r="H358" s="68" t="s">
        <v>15</v>
      </c>
      <c r="I358" s="79">
        <v>80</v>
      </c>
    </row>
    <row r="359" s="43" customFormat="1" ht="56.25" spans="1:9">
      <c r="A359" s="57">
        <v>16</v>
      </c>
      <c r="B359" s="39" t="s">
        <v>375</v>
      </c>
      <c r="C359" s="39" t="s">
        <v>376</v>
      </c>
      <c r="D359" s="94" t="s">
        <v>372</v>
      </c>
      <c r="E359" s="94">
        <v>18</v>
      </c>
      <c r="F359" s="70">
        <f t="shared" si="23"/>
        <v>136.5</v>
      </c>
      <c r="G359" s="70">
        <f t="shared" si="24"/>
        <v>2457</v>
      </c>
      <c r="H359" s="68" t="s">
        <v>15</v>
      </c>
      <c r="I359" s="79">
        <v>130</v>
      </c>
    </row>
    <row r="360" s="43" customFormat="1" ht="67.5" spans="1:9">
      <c r="A360" s="57">
        <v>17</v>
      </c>
      <c r="B360" s="39" t="s">
        <v>377</v>
      </c>
      <c r="C360" s="39" t="s">
        <v>378</v>
      </c>
      <c r="D360" s="94" t="s">
        <v>372</v>
      </c>
      <c r="E360" s="94">
        <v>42</v>
      </c>
      <c r="F360" s="70">
        <f t="shared" si="23"/>
        <v>126</v>
      </c>
      <c r="G360" s="70">
        <f t="shared" si="24"/>
        <v>5292</v>
      </c>
      <c r="H360" s="68" t="s">
        <v>15</v>
      </c>
      <c r="I360" s="79">
        <v>120</v>
      </c>
    </row>
    <row r="361" s="43" customFormat="1" ht="56.25" spans="1:9">
      <c r="A361" s="57">
        <v>18</v>
      </c>
      <c r="B361" s="39" t="s">
        <v>379</v>
      </c>
      <c r="C361" s="39" t="s">
        <v>380</v>
      </c>
      <c r="D361" s="94" t="s">
        <v>308</v>
      </c>
      <c r="E361" s="94">
        <v>4</v>
      </c>
      <c r="F361" s="70">
        <f t="shared" si="23"/>
        <v>63</v>
      </c>
      <c r="G361" s="70">
        <f t="shared" si="24"/>
        <v>252</v>
      </c>
      <c r="H361" s="68" t="s">
        <v>15</v>
      </c>
      <c r="I361" s="79">
        <v>60</v>
      </c>
    </row>
    <row r="362" s="43" customFormat="1" ht="56.25" spans="1:9">
      <c r="A362" s="57">
        <v>19</v>
      </c>
      <c r="B362" s="39" t="s">
        <v>381</v>
      </c>
      <c r="C362" s="39" t="s">
        <v>382</v>
      </c>
      <c r="D362" s="94" t="s">
        <v>308</v>
      </c>
      <c r="E362" s="94">
        <v>8</v>
      </c>
      <c r="F362" s="70">
        <f t="shared" si="23"/>
        <v>63</v>
      </c>
      <c r="G362" s="70">
        <f t="shared" si="24"/>
        <v>504</v>
      </c>
      <c r="H362" s="68" t="s">
        <v>15</v>
      </c>
      <c r="I362" s="79">
        <v>60</v>
      </c>
    </row>
    <row r="363" s="43" customFormat="1" ht="56.25" spans="1:9">
      <c r="A363" s="57">
        <v>20</v>
      </c>
      <c r="B363" s="39" t="s">
        <v>383</v>
      </c>
      <c r="C363" s="39" t="s">
        <v>384</v>
      </c>
      <c r="D363" s="94" t="s">
        <v>372</v>
      </c>
      <c r="E363" s="94">
        <v>3</v>
      </c>
      <c r="F363" s="70">
        <f t="shared" si="23"/>
        <v>52.5</v>
      </c>
      <c r="G363" s="70">
        <f t="shared" si="24"/>
        <v>157.5</v>
      </c>
      <c r="H363" s="68" t="s">
        <v>15</v>
      </c>
      <c r="I363" s="79">
        <v>50</v>
      </c>
    </row>
    <row r="364" s="43" customFormat="1" ht="56.25" spans="1:9">
      <c r="A364" s="57">
        <v>21</v>
      </c>
      <c r="B364" s="39" t="s">
        <v>385</v>
      </c>
      <c r="C364" s="39" t="s">
        <v>386</v>
      </c>
      <c r="D364" s="94" t="s">
        <v>372</v>
      </c>
      <c r="E364" s="94">
        <v>1</v>
      </c>
      <c r="F364" s="70">
        <f t="shared" si="23"/>
        <v>126</v>
      </c>
      <c r="G364" s="70">
        <f t="shared" si="24"/>
        <v>126</v>
      </c>
      <c r="H364" s="68" t="s">
        <v>15</v>
      </c>
      <c r="I364" s="79">
        <v>120</v>
      </c>
    </row>
    <row r="365" s="42" customFormat="1" ht="18" customHeight="1" spans="1:9">
      <c r="A365" s="84" t="s">
        <v>389</v>
      </c>
      <c r="B365" s="95" t="s">
        <v>390</v>
      </c>
      <c r="C365" s="92"/>
      <c r="D365" s="96"/>
      <c r="E365" s="85"/>
      <c r="F365" s="70"/>
      <c r="G365" s="82">
        <f>SUM(G366:G395)</f>
        <v>19666.0275</v>
      </c>
      <c r="H365" s="64"/>
      <c r="I365" s="97"/>
    </row>
    <row r="366" s="43" customFormat="1" ht="67.5" spans="1:9">
      <c r="A366" s="57">
        <v>1</v>
      </c>
      <c r="B366" s="39" t="s">
        <v>290</v>
      </c>
      <c r="C366" s="30" t="s">
        <v>391</v>
      </c>
      <c r="D366" s="94" t="s">
        <v>174</v>
      </c>
      <c r="E366" s="94">
        <v>9</v>
      </c>
      <c r="F366" s="70">
        <f t="shared" si="23"/>
        <v>10.5</v>
      </c>
      <c r="G366" s="70">
        <f t="shared" ref="G366:G395" si="25">F366*E366</f>
        <v>94.5</v>
      </c>
      <c r="H366" s="68" t="s">
        <v>15</v>
      </c>
      <c r="I366" s="79">
        <v>10</v>
      </c>
    </row>
    <row r="367" s="43" customFormat="1" ht="67.5" spans="1:9">
      <c r="A367" s="57">
        <v>2</v>
      </c>
      <c r="B367" s="39" t="s">
        <v>392</v>
      </c>
      <c r="C367" s="30" t="s">
        <v>393</v>
      </c>
      <c r="D367" s="94" t="s">
        <v>174</v>
      </c>
      <c r="E367" s="94">
        <v>35</v>
      </c>
      <c r="F367" s="70">
        <f t="shared" si="23"/>
        <v>10.5</v>
      </c>
      <c r="G367" s="70">
        <f t="shared" si="25"/>
        <v>367.5</v>
      </c>
      <c r="H367" s="68" t="s">
        <v>15</v>
      </c>
      <c r="I367" s="79">
        <v>10</v>
      </c>
    </row>
    <row r="368" s="43" customFormat="1" ht="67.5" spans="1:9">
      <c r="A368" s="57">
        <v>3</v>
      </c>
      <c r="B368" s="39" t="s">
        <v>394</v>
      </c>
      <c r="C368" s="30" t="s">
        <v>395</v>
      </c>
      <c r="D368" s="94" t="s">
        <v>174</v>
      </c>
      <c r="E368" s="94">
        <v>11</v>
      </c>
      <c r="F368" s="70">
        <f t="shared" si="23"/>
        <v>10.5</v>
      </c>
      <c r="G368" s="70">
        <f t="shared" si="25"/>
        <v>115.5</v>
      </c>
      <c r="H368" s="68" t="s">
        <v>15</v>
      </c>
      <c r="I368" s="79">
        <v>10</v>
      </c>
    </row>
    <row r="369" s="43" customFormat="1" ht="67.5" spans="1:9">
      <c r="A369" s="57">
        <v>4</v>
      </c>
      <c r="B369" s="39" t="s">
        <v>303</v>
      </c>
      <c r="C369" s="30" t="s">
        <v>396</v>
      </c>
      <c r="D369" s="94" t="s">
        <v>174</v>
      </c>
      <c r="E369" s="94">
        <v>70</v>
      </c>
      <c r="F369" s="70">
        <f t="shared" si="23"/>
        <v>5.25</v>
      </c>
      <c r="G369" s="70">
        <f t="shared" si="25"/>
        <v>367.5</v>
      </c>
      <c r="H369" s="68" t="s">
        <v>15</v>
      </c>
      <c r="I369" s="79">
        <v>5</v>
      </c>
    </row>
    <row r="370" s="43" customFormat="1" ht="67.5" spans="1:9">
      <c r="A370" s="57">
        <v>5</v>
      </c>
      <c r="B370" s="39" t="s">
        <v>397</v>
      </c>
      <c r="C370" s="30" t="s">
        <v>398</v>
      </c>
      <c r="D370" s="94" t="s">
        <v>42</v>
      </c>
      <c r="E370" s="94">
        <v>14.93</v>
      </c>
      <c r="F370" s="70">
        <f t="shared" si="23"/>
        <v>31.5</v>
      </c>
      <c r="G370" s="70">
        <f t="shared" si="25"/>
        <v>470.295</v>
      </c>
      <c r="H370" s="68" t="s">
        <v>15</v>
      </c>
      <c r="I370" s="79">
        <v>30</v>
      </c>
    </row>
    <row r="371" s="43" customFormat="1" ht="67.5" spans="1:9">
      <c r="A371" s="57">
        <v>6</v>
      </c>
      <c r="B371" s="39" t="s">
        <v>399</v>
      </c>
      <c r="C371" s="30" t="s">
        <v>400</v>
      </c>
      <c r="D371" s="94" t="s">
        <v>42</v>
      </c>
      <c r="E371" s="94">
        <v>23.12</v>
      </c>
      <c r="F371" s="70">
        <f t="shared" si="23"/>
        <v>31.5</v>
      </c>
      <c r="G371" s="70">
        <f t="shared" si="25"/>
        <v>728.28</v>
      </c>
      <c r="H371" s="68" t="s">
        <v>15</v>
      </c>
      <c r="I371" s="79">
        <v>30</v>
      </c>
    </row>
    <row r="372" s="43" customFormat="1" ht="56.25" spans="1:9">
      <c r="A372" s="57">
        <v>7</v>
      </c>
      <c r="B372" s="39" t="s">
        <v>401</v>
      </c>
      <c r="C372" s="39" t="s">
        <v>402</v>
      </c>
      <c r="D372" s="94" t="s">
        <v>403</v>
      </c>
      <c r="E372" s="94">
        <v>30.72</v>
      </c>
      <c r="F372" s="70">
        <f t="shared" si="23"/>
        <v>3.675</v>
      </c>
      <c r="G372" s="70">
        <f t="shared" si="25"/>
        <v>112.896</v>
      </c>
      <c r="H372" s="68" t="s">
        <v>15</v>
      </c>
      <c r="I372" s="79">
        <v>3.5</v>
      </c>
    </row>
    <row r="373" s="43" customFormat="1" ht="90" spans="1:9">
      <c r="A373" s="57">
        <v>8</v>
      </c>
      <c r="B373" s="39" t="s">
        <v>317</v>
      </c>
      <c r="C373" s="39" t="s">
        <v>404</v>
      </c>
      <c r="D373" s="94" t="s">
        <v>42</v>
      </c>
      <c r="E373" s="94">
        <v>467.62</v>
      </c>
      <c r="F373" s="70">
        <f t="shared" si="23"/>
        <v>8.925</v>
      </c>
      <c r="G373" s="70">
        <f t="shared" si="25"/>
        <v>4173.5085</v>
      </c>
      <c r="H373" s="68" t="s">
        <v>15</v>
      </c>
      <c r="I373" s="79">
        <v>8.5</v>
      </c>
    </row>
    <row r="374" s="43" customFormat="1" ht="90" spans="1:9">
      <c r="A374" s="57">
        <v>9</v>
      </c>
      <c r="B374" s="39" t="s">
        <v>405</v>
      </c>
      <c r="C374" s="39" t="s">
        <v>406</v>
      </c>
      <c r="D374" s="94" t="s">
        <v>42</v>
      </c>
      <c r="E374" s="94">
        <v>80.48</v>
      </c>
      <c r="F374" s="70">
        <f t="shared" si="23"/>
        <v>8.925</v>
      </c>
      <c r="G374" s="70">
        <f t="shared" si="25"/>
        <v>718.284</v>
      </c>
      <c r="H374" s="68" t="s">
        <v>15</v>
      </c>
      <c r="I374" s="79">
        <v>8.5</v>
      </c>
    </row>
    <row r="375" s="43" customFormat="1" ht="90" spans="1:9">
      <c r="A375" s="57">
        <v>10</v>
      </c>
      <c r="B375" s="39" t="s">
        <v>319</v>
      </c>
      <c r="C375" s="39" t="s">
        <v>407</v>
      </c>
      <c r="D375" s="94" t="s">
        <v>42</v>
      </c>
      <c r="E375" s="94">
        <v>101.2</v>
      </c>
      <c r="F375" s="70">
        <f t="shared" si="23"/>
        <v>8.925</v>
      </c>
      <c r="G375" s="70">
        <f t="shared" si="25"/>
        <v>903.21</v>
      </c>
      <c r="H375" s="68" t="s">
        <v>15</v>
      </c>
      <c r="I375" s="79">
        <v>8.5</v>
      </c>
    </row>
    <row r="376" s="43" customFormat="1" ht="90" spans="1:9">
      <c r="A376" s="57">
        <v>11</v>
      </c>
      <c r="B376" s="39" t="s">
        <v>408</v>
      </c>
      <c r="C376" s="39" t="s">
        <v>409</v>
      </c>
      <c r="D376" s="94" t="s">
        <v>42</v>
      </c>
      <c r="E376" s="94">
        <v>37.27</v>
      </c>
      <c r="F376" s="70">
        <f t="shared" si="23"/>
        <v>8.925</v>
      </c>
      <c r="G376" s="70">
        <f t="shared" si="25"/>
        <v>332.63475</v>
      </c>
      <c r="H376" s="68" t="s">
        <v>15</v>
      </c>
      <c r="I376" s="79">
        <v>8.5</v>
      </c>
    </row>
    <row r="377" s="43" customFormat="1" ht="90" spans="1:9">
      <c r="A377" s="57">
        <v>12</v>
      </c>
      <c r="B377" s="39" t="s">
        <v>410</v>
      </c>
      <c r="C377" s="39" t="s">
        <v>411</v>
      </c>
      <c r="D377" s="94" t="s">
        <v>42</v>
      </c>
      <c r="E377" s="94">
        <v>79.78</v>
      </c>
      <c r="F377" s="70">
        <f t="shared" si="23"/>
        <v>8.925</v>
      </c>
      <c r="G377" s="70">
        <f t="shared" si="25"/>
        <v>712.0365</v>
      </c>
      <c r="H377" s="68" t="s">
        <v>15</v>
      </c>
      <c r="I377" s="79">
        <v>8.5</v>
      </c>
    </row>
    <row r="378" s="43" customFormat="1" ht="90" spans="1:9">
      <c r="A378" s="57">
        <v>13</v>
      </c>
      <c r="B378" s="39" t="s">
        <v>412</v>
      </c>
      <c r="C378" s="39" t="s">
        <v>413</v>
      </c>
      <c r="D378" s="94" t="s">
        <v>42</v>
      </c>
      <c r="E378" s="94">
        <v>30.13</v>
      </c>
      <c r="F378" s="70">
        <f t="shared" si="23"/>
        <v>8.925</v>
      </c>
      <c r="G378" s="70">
        <f t="shared" si="25"/>
        <v>268.91025</v>
      </c>
      <c r="H378" s="68" t="s">
        <v>15</v>
      </c>
      <c r="I378" s="79">
        <v>8.5</v>
      </c>
    </row>
    <row r="379" s="43" customFormat="1" ht="56.25" spans="1:9">
      <c r="A379" s="57">
        <v>14</v>
      </c>
      <c r="B379" s="39" t="s">
        <v>414</v>
      </c>
      <c r="C379" s="39" t="s">
        <v>415</v>
      </c>
      <c r="D379" s="94" t="s">
        <v>42</v>
      </c>
      <c r="E379" s="94">
        <v>647.87</v>
      </c>
      <c r="F379" s="70">
        <f t="shared" si="23"/>
        <v>8.925</v>
      </c>
      <c r="G379" s="70">
        <f t="shared" si="25"/>
        <v>5782.23975</v>
      </c>
      <c r="H379" s="68" t="s">
        <v>15</v>
      </c>
      <c r="I379" s="79">
        <v>8.5</v>
      </c>
    </row>
    <row r="380" s="43" customFormat="1" ht="56.25" spans="1:9">
      <c r="A380" s="57">
        <v>15</v>
      </c>
      <c r="B380" s="39" t="s">
        <v>416</v>
      </c>
      <c r="C380" s="39" t="s">
        <v>417</v>
      </c>
      <c r="D380" s="94" t="s">
        <v>42</v>
      </c>
      <c r="E380" s="94">
        <v>60.79</v>
      </c>
      <c r="F380" s="70">
        <f t="shared" si="23"/>
        <v>8.925</v>
      </c>
      <c r="G380" s="70">
        <f t="shared" si="25"/>
        <v>542.55075</v>
      </c>
      <c r="H380" s="68" t="s">
        <v>15</v>
      </c>
      <c r="I380" s="79">
        <v>8.5</v>
      </c>
    </row>
    <row r="381" s="43" customFormat="1" ht="56.25" spans="1:9">
      <c r="A381" s="57">
        <v>16</v>
      </c>
      <c r="B381" s="39" t="s">
        <v>418</v>
      </c>
      <c r="C381" s="39" t="s">
        <v>419</v>
      </c>
      <c r="D381" s="94" t="s">
        <v>42</v>
      </c>
      <c r="E381" s="94">
        <v>104.5</v>
      </c>
      <c r="F381" s="70">
        <f t="shared" si="23"/>
        <v>8.925</v>
      </c>
      <c r="G381" s="70">
        <f t="shared" si="25"/>
        <v>932.6625</v>
      </c>
      <c r="H381" s="68" t="s">
        <v>15</v>
      </c>
      <c r="I381" s="79">
        <v>8.5</v>
      </c>
    </row>
    <row r="382" s="43" customFormat="1" ht="56.25" spans="1:9">
      <c r="A382" s="57">
        <v>17</v>
      </c>
      <c r="B382" s="39" t="s">
        <v>420</v>
      </c>
      <c r="C382" s="39" t="s">
        <v>421</v>
      </c>
      <c r="D382" s="94" t="s">
        <v>42</v>
      </c>
      <c r="E382" s="94">
        <v>63.45</v>
      </c>
      <c r="F382" s="70">
        <f t="shared" si="23"/>
        <v>8.925</v>
      </c>
      <c r="G382" s="70">
        <f t="shared" si="25"/>
        <v>566.29125</v>
      </c>
      <c r="H382" s="68" t="s">
        <v>15</v>
      </c>
      <c r="I382" s="79">
        <v>8.5</v>
      </c>
    </row>
    <row r="383" s="43" customFormat="1" ht="56.25" spans="1:9">
      <c r="A383" s="57">
        <v>18</v>
      </c>
      <c r="B383" s="39" t="s">
        <v>422</v>
      </c>
      <c r="C383" s="39" t="s">
        <v>423</v>
      </c>
      <c r="D383" s="94" t="s">
        <v>42</v>
      </c>
      <c r="E383" s="94">
        <v>67.11</v>
      </c>
      <c r="F383" s="70">
        <f t="shared" si="23"/>
        <v>8.925</v>
      </c>
      <c r="G383" s="70">
        <f t="shared" si="25"/>
        <v>598.95675</v>
      </c>
      <c r="H383" s="68" t="s">
        <v>15</v>
      </c>
      <c r="I383" s="79">
        <v>8.5</v>
      </c>
    </row>
    <row r="384" s="43" customFormat="1" ht="56.25" spans="1:9">
      <c r="A384" s="57">
        <v>19</v>
      </c>
      <c r="B384" s="39" t="s">
        <v>424</v>
      </c>
      <c r="C384" s="39" t="s">
        <v>425</v>
      </c>
      <c r="D384" s="94" t="s">
        <v>42</v>
      </c>
      <c r="E384" s="94">
        <v>37.29</v>
      </c>
      <c r="F384" s="70">
        <f t="shared" si="23"/>
        <v>8.925</v>
      </c>
      <c r="G384" s="70">
        <f t="shared" si="25"/>
        <v>332.81325</v>
      </c>
      <c r="H384" s="68" t="s">
        <v>15</v>
      </c>
      <c r="I384" s="79">
        <v>8.5</v>
      </c>
    </row>
    <row r="385" s="43" customFormat="1" ht="67.5" spans="1:9">
      <c r="A385" s="57">
        <v>20</v>
      </c>
      <c r="B385" s="39" t="s">
        <v>426</v>
      </c>
      <c r="C385" s="39" t="s">
        <v>427</v>
      </c>
      <c r="D385" s="94" t="s">
        <v>174</v>
      </c>
      <c r="E385" s="94">
        <v>4</v>
      </c>
      <c r="F385" s="70">
        <f t="shared" si="23"/>
        <v>31.5</v>
      </c>
      <c r="G385" s="70">
        <f t="shared" si="25"/>
        <v>126</v>
      </c>
      <c r="H385" s="68" t="s">
        <v>15</v>
      </c>
      <c r="I385" s="79">
        <v>30</v>
      </c>
    </row>
    <row r="386" s="43" customFormat="1" ht="56.25" spans="1:9">
      <c r="A386" s="57">
        <v>21</v>
      </c>
      <c r="B386" s="39" t="s">
        <v>428</v>
      </c>
      <c r="C386" s="39" t="s">
        <v>429</v>
      </c>
      <c r="D386" s="94" t="s">
        <v>42</v>
      </c>
      <c r="E386" s="94">
        <v>26.95</v>
      </c>
      <c r="F386" s="70">
        <f t="shared" si="23"/>
        <v>8.925</v>
      </c>
      <c r="G386" s="70">
        <f t="shared" si="25"/>
        <v>240.52875</v>
      </c>
      <c r="H386" s="68" t="s">
        <v>15</v>
      </c>
      <c r="I386" s="79">
        <v>8.5</v>
      </c>
    </row>
    <row r="387" s="43" customFormat="1" ht="67.5" spans="1:9">
      <c r="A387" s="57">
        <v>22</v>
      </c>
      <c r="B387" s="39" t="s">
        <v>430</v>
      </c>
      <c r="C387" s="39" t="s">
        <v>431</v>
      </c>
      <c r="D387" s="94" t="s">
        <v>174</v>
      </c>
      <c r="E387" s="94">
        <v>2</v>
      </c>
      <c r="F387" s="70">
        <f t="shared" si="23"/>
        <v>31.5</v>
      </c>
      <c r="G387" s="70">
        <f t="shared" si="25"/>
        <v>63</v>
      </c>
      <c r="H387" s="68" t="s">
        <v>15</v>
      </c>
      <c r="I387" s="79">
        <v>30</v>
      </c>
    </row>
    <row r="388" s="43" customFormat="1" ht="56.25" spans="1:9">
      <c r="A388" s="57">
        <v>23</v>
      </c>
      <c r="B388" s="39" t="s">
        <v>432</v>
      </c>
      <c r="C388" s="39" t="s">
        <v>433</v>
      </c>
      <c r="D388" s="94" t="s">
        <v>42</v>
      </c>
      <c r="E388" s="94">
        <v>16.23</v>
      </c>
      <c r="F388" s="70">
        <f t="shared" si="23"/>
        <v>8.925</v>
      </c>
      <c r="G388" s="70">
        <f t="shared" si="25"/>
        <v>144.85275</v>
      </c>
      <c r="H388" s="68" t="s">
        <v>15</v>
      </c>
      <c r="I388" s="79">
        <v>8.5</v>
      </c>
    </row>
    <row r="389" s="43" customFormat="1" ht="67.5" spans="1:9">
      <c r="A389" s="57">
        <v>24</v>
      </c>
      <c r="B389" s="39" t="s">
        <v>434</v>
      </c>
      <c r="C389" s="39" t="s">
        <v>435</v>
      </c>
      <c r="D389" s="94" t="s">
        <v>174</v>
      </c>
      <c r="E389" s="94">
        <v>2</v>
      </c>
      <c r="F389" s="70">
        <f t="shared" si="23"/>
        <v>31.5</v>
      </c>
      <c r="G389" s="70">
        <f t="shared" si="25"/>
        <v>63</v>
      </c>
      <c r="H389" s="68" t="s">
        <v>15</v>
      </c>
      <c r="I389" s="79">
        <v>30</v>
      </c>
    </row>
    <row r="390" s="43" customFormat="1" ht="56.25" spans="1:9">
      <c r="A390" s="57">
        <v>25</v>
      </c>
      <c r="B390" s="39" t="s">
        <v>436</v>
      </c>
      <c r="C390" s="39" t="s">
        <v>437</v>
      </c>
      <c r="D390" s="94" t="s">
        <v>42</v>
      </c>
      <c r="E390" s="94">
        <v>23.66</v>
      </c>
      <c r="F390" s="70">
        <f t="shared" ref="F390:F423" si="26">I390*1.05</f>
        <v>8.925</v>
      </c>
      <c r="G390" s="70">
        <f t="shared" si="25"/>
        <v>211.1655</v>
      </c>
      <c r="H390" s="68" t="s">
        <v>15</v>
      </c>
      <c r="I390" s="79">
        <v>8.5</v>
      </c>
    </row>
    <row r="391" s="43" customFormat="1" ht="67.5" spans="1:9">
      <c r="A391" s="57">
        <v>26</v>
      </c>
      <c r="B391" s="39" t="s">
        <v>438</v>
      </c>
      <c r="C391" s="39" t="s">
        <v>439</v>
      </c>
      <c r="D391" s="94" t="s">
        <v>174</v>
      </c>
      <c r="E391" s="94">
        <v>4</v>
      </c>
      <c r="F391" s="70">
        <f t="shared" si="26"/>
        <v>31.5</v>
      </c>
      <c r="G391" s="70">
        <f t="shared" si="25"/>
        <v>126</v>
      </c>
      <c r="H391" s="68" t="s">
        <v>15</v>
      </c>
      <c r="I391" s="79">
        <v>30</v>
      </c>
    </row>
    <row r="392" s="43" customFormat="1" ht="56.25" spans="1:9">
      <c r="A392" s="57">
        <v>27</v>
      </c>
      <c r="B392" s="39" t="s">
        <v>440</v>
      </c>
      <c r="C392" s="39" t="s">
        <v>441</v>
      </c>
      <c r="D392" s="94" t="s">
        <v>42</v>
      </c>
      <c r="E392" s="94">
        <v>27.83</v>
      </c>
      <c r="F392" s="70">
        <f t="shared" si="26"/>
        <v>8.925</v>
      </c>
      <c r="G392" s="70">
        <f t="shared" si="25"/>
        <v>248.38275</v>
      </c>
      <c r="H392" s="68" t="s">
        <v>15</v>
      </c>
      <c r="I392" s="79">
        <v>8.5</v>
      </c>
    </row>
    <row r="393" s="43" customFormat="1" ht="67.5" spans="1:9">
      <c r="A393" s="57">
        <v>28</v>
      </c>
      <c r="B393" s="39" t="s">
        <v>442</v>
      </c>
      <c r="C393" s="39" t="s">
        <v>443</v>
      </c>
      <c r="D393" s="94" t="s">
        <v>174</v>
      </c>
      <c r="E393" s="94">
        <v>2</v>
      </c>
      <c r="F393" s="70">
        <f t="shared" si="26"/>
        <v>31.5</v>
      </c>
      <c r="G393" s="70">
        <f t="shared" si="25"/>
        <v>63</v>
      </c>
      <c r="H393" s="68" t="s">
        <v>15</v>
      </c>
      <c r="I393" s="79">
        <v>30</v>
      </c>
    </row>
    <row r="394" s="43" customFormat="1" ht="56.25" spans="1:9">
      <c r="A394" s="57">
        <v>29</v>
      </c>
      <c r="B394" s="39" t="s">
        <v>444</v>
      </c>
      <c r="C394" s="39" t="s">
        <v>445</v>
      </c>
      <c r="D394" s="94" t="s">
        <v>42</v>
      </c>
      <c r="E394" s="94">
        <v>22.02</v>
      </c>
      <c r="F394" s="70">
        <f t="shared" si="26"/>
        <v>8.925</v>
      </c>
      <c r="G394" s="70">
        <f t="shared" si="25"/>
        <v>196.5285</v>
      </c>
      <c r="H394" s="68" t="s">
        <v>15</v>
      </c>
      <c r="I394" s="79">
        <v>8.5</v>
      </c>
    </row>
    <row r="395" s="43" customFormat="1" ht="67.5" spans="1:9">
      <c r="A395" s="57">
        <v>30</v>
      </c>
      <c r="B395" s="39" t="s">
        <v>446</v>
      </c>
      <c r="C395" s="39" t="s">
        <v>447</v>
      </c>
      <c r="D395" s="94" t="s">
        <v>174</v>
      </c>
      <c r="E395" s="94">
        <v>2</v>
      </c>
      <c r="F395" s="70">
        <f t="shared" si="26"/>
        <v>31.5</v>
      </c>
      <c r="G395" s="70">
        <f t="shared" si="25"/>
        <v>63</v>
      </c>
      <c r="H395" s="68" t="s">
        <v>15</v>
      </c>
      <c r="I395" s="79">
        <v>30</v>
      </c>
    </row>
    <row r="396" s="42" customFormat="1" ht="19" customHeight="1" spans="1:9">
      <c r="A396" s="84" t="s">
        <v>448</v>
      </c>
      <c r="B396" s="91" t="s">
        <v>449</v>
      </c>
      <c r="C396" s="92"/>
      <c r="D396" s="96"/>
      <c r="E396" s="85"/>
      <c r="F396" s="70"/>
      <c r="G396" s="82">
        <f>SUM(G397:G418)</f>
        <v>4374.51</v>
      </c>
      <c r="H396" s="64"/>
      <c r="I396" s="97"/>
    </row>
    <row r="397" s="43" customFormat="1" ht="90" spans="1:9">
      <c r="A397" s="57">
        <v>1</v>
      </c>
      <c r="B397" s="39" t="s">
        <v>340</v>
      </c>
      <c r="C397" s="39" t="s">
        <v>341</v>
      </c>
      <c r="D397" s="94" t="s">
        <v>42</v>
      </c>
      <c r="E397" s="94">
        <v>81.51</v>
      </c>
      <c r="F397" s="70">
        <f t="shared" si="26"/>
        <v>15.75</v>
      </c>
      <c r="G397" s="70">
        <f t="shared" ref="G397:G418" si="27">F397*E397</f>
        <v>1283.7825</v>
      </c>
      <c r="H397" s="68" t="s">
        <v>15</v>
      </c>
      <c r="I397" s="79">
        <v>15</v>
      </c>
    </row>
    <row r="398" s="43" customFormat="1" ht="90" spans="1:9">
      <c r="A398" s="57">
        <v>2</v>
      </c>
      <c r="B398" s="39" t="s">
        <v>342</v>
      </c>
      <c r="C398" s="39" t="s">
        <v>343</v>
      </c>
      <c r="D398" s="94" t="s">
        <v>42</v>
      </c>
      <c r="E398" s="94">
        <v>24.75</v>
      </c>
      <c r="F398" s="70">
        <f t="shared" si="26"/>
        <v>15.75</v>
      </c>
      <c r="G398" s="70">
        <f t="shared" si="27"/>
        <v>389.8125</v>
      </c>
      <c r="H398" s="68" t="s">
        <v>15</v>
      </c>
      <c r="I398" s="79">
        <v>15</v>
      </c>
    </row>
    <row r="399" s="43" customFormat="1" ht="90" spans="1:9">
      <c r="A399" s="57">
        <v>3</v>
      </c>
      <c r="B399" s="39" t="s">
        <v>344</v>
      </c>
      <c r="C399" s="39" t="s">
        <v>345</v>
      </c>
      <c r="D399" s="94" t="s">
        <v>42</v>
      </c>
      <c r="E399" s="94">
        <v>18.32</v>
      </c>
      <c r="F399" s="70">
        <f t="shared" si="26"/>
        <v>15.75</v>
      </c>
      <c r="G399" s="70">
        <f t="shared" si="27"/>
        <v>288.54</v>
      </c>
      <c r="H399" s="68" t="s">
        <v>15</v>
      </c>
      <c r="I399" s="79">
        <v>15</v>
      </c>
    </row>
    <row r="400" s="43" customFormat="1" ht="90" spans="1:9">
      <c r="A400" s="57">
        <v>4</v>
      </c>
      <c r="B400" s="39" t="s">
        <v>450</v>
      </c>
      <c r="C400" s="39" t="s">
        <v>451</v>
      </c>
      <c r="D400" s="94" t="s">
        <v>42</v>
      </c>
      <c r="E400" s="94">
        <v>8.83</v>
      </c>
      <c r="F400" s="70">
        <f t="shared" si="26"/>
        <v>15.75</v>
      </c>
      <c r="G400" s="70">
        <f t="shared" si="27"/>
        <v>139.0725</v>
      </c>
      <c r="H400" s="68" t="s">
        <v>15</v>
      </c>
      <c r="I400" s="79">
        <v>15</v>
      </c>
    </row>
    <row r="401" s="43" customFormat="1" ht="90" spans="1:9">
      <c r="A401" s="57">
        <v>5</v>
      </c>
      <c r="B401" s="39" t="s">
        <v>346</v>
      </c>
      <c r="C401" s="39" t="s">
        <v>347</v>
      </c>
      <c r="D401" s="94" t="s">
        <v>42</v>
      </c>
      <c r="E401" s="94">
        <v>10.79</v>
      </c>
      <c r="F401" s="70">
        <f t="shared" si="26"/>
        <v>15.75</v>
      </c>
      <c r="G401" s="70">
        <f t="shared" si="27"/>
        <v>169.9425</v>
      </c>
      <c r="H401" s="68" t="s">
        <v>15</v>
      </c>
      <c r="I401" s="79">
        <v>15</v>
      </c>
    </row>
    <row r="402" s="43" customFormat="1" ht="90" spans="1:9">
      <c r="A402" s="57">
        <v>6</v>
      </c>
      <c r="B402" s="39" t="s">
        <v>348</v>
      </c>
      <c r="C402" s="39" t="s">
        <v>349</v>
      </c>
      <c r="D402" s="94" t="s">
        <v>42</v>
      </c>
      <c r="E402" s="94">
        <v>13.24</v>
      </c>
      <c r="F402" s="70">
        <f t="shared" si="26"/>
        <v>15.75</v>
      </c>
      <c r="G402" s="70">
        <f t="shared" si="27"/>
        <v>208.53</v>
      </c>
      <c r="H402" s="68" t="s">
        <v>15</v>
      </c>
      <c r="I402" s="79">
        <v>15</v>
      </c>
    </row>
    <row r="403" s="43" customFormat="1" ht="90" spans="1:9">
      <c r="A403" s="57">
        <v>7</v>
      </c>
      <c r="B403" s="39" t="s">
        <v>350</v>
      </c>
      <c r="C403" s="39" t="s">
        <v>351</v>
      </c>
      <c r="D403" s="94" t="s">
        <v>42</v>
      </c>
      <c r="E403" s="94">
        <v>5.62</v>
      </c>
      <c r="F403" s="70">
        <f t="shared" si="26"/>
        <v>15.75</v>
      </c>
      <c r="G403" s="70">
        <f t="shared" si="27"/>
        <v>88.515</v>
      </c>
      <c r="H403" s="68" t="s">
        <v>15</v>
      </c>
      <c r="I403" s="79">
        <v>15</v>
      </c>
    </row>
    <row r="404" s="43" customFormat="1" ht="90" spans="1:9">
      <c r="A404" s="57">
        <v>8</v>
      </c>
      <c r="B404" s="39" t="s">
        <v>352</v>
      </c>
      <c r="C404" s="39" t="s">
        <v>353</v>
      </c>
      <c r="D404" s="94" t="s">
        <v>42</v>
      </c>
      <c r="E404" s="94">
        <v>7.2</v>
      </c>
      <c r="F404" s="70">
        <f t="shared" si="26"/>
        <v>15.75</v>
      </c>
      <c r="G404" s="70">
        <f t="shared" si="27"/>
        <v>113.4</v>
      </c>
      <c r="H404" s="68" t="s">
        <v>15</v>
      </c>
      <c r="I404" s="79">
        <v>15</v>
      </c>
    </row>
    <row r="405" s="43" customFormat="1" ht="90" spans="1:9">
      <c r="A405" s="57">
        <v>9</v>
      </c>
      <c r="B405" s="39" t="s">
        <v>452</v>
      </c>
      <c r="C405" s="39" t="s">
        <v>453</v>
      </c>
      <c r="D405" s="94" t="s">
        <v>42</v>
      </c>
      <c r="E405" s="94">
        <v>4.4</v>
      </c>
      <c r="F405" s="70">
        <f t="shared" si="26"/>
        <v>15.75</v>
      </c>
      <c r="G405" s="70">
        <f t="shared" si="27"/>
        <v>69.3</v>
      </c>
      <c r="H405" s="68" t="s">
        <v>15</v>
      </c>
      <c r="I405" s="79">
        <v>15</v>
      </c>
    </row>
    <row r="406" s="43" customFormat="1" ht="67.5" spans="1:9">
      <c r="A406" s="57">
        <v>10</v>
      </c>
      <c r="B406" s="39" t="s">
        <v>356</v>
      </c>
      <c r="C406" s="39" t="s">
        <v>357</v>
      </c>
      <c r="D406" s="94" t="s">
        <v>42</v>
      </c>
      <c r="E406" s="94">
        <v>11.75</v>
      </c>
      <c r="F406" s="70">
        <f t="shared" si="26"/>
        <v>15.75</v>
      </c>
      <c r="G406" s="70">
        <f t="shared" si="27"/>
        <v>185.0625</v>
      </c>
      <c r="H406" s="68" t="s">
        <v>15</v>
      </c>
      <c r="I406" s="79">
        <v>15</v>
      </c>
    </row>
    <row r="407" s="43" customFormat="1" ht="67.5" spans="1:9">
      <c r="A407" s="57">
        <v>11</v>
      </c>
      <c r="B407" s="39" t="s">
        <v>358</v>
      </c>
      <c r="C407" s="39" t="s">
        <v>359</v>
      </c>
      <c r="D407" s="94" t="s">
        <v>42</v>
      </c>
      <c r="E407" s="94">
        <v>10.94</v>
      </c>
      <c r="F407" s="70">
        <f t="shared" si="26"/>
        <v>15.75</v>
      </c>
      <c r="G407" s="70">
        <f t="shared" si="27"/>
        <v>172.305</v>
      </c>
      <c r="H407" s="68" t="s">
        <v>15</v>
      </c>
      <c r="I407" s="79">
        <v>15</v>
      </c>
    </row>
    <row r="408" s="43" customFormat="1" ht="67.5" spans="1:9">
      <c r="A408" s="57">
        <v>12</v>
      </c>
      <c r="B408" s="39" t="s">
        <v>454</v>
      </c>
      <c r="C408" s="39" t="s">
        <v>455</v>
      </c>
      <c r="D408" s="94" t="s">
        <v>42</v>
      </c>
      <c r="E408" s="94">
        <v>37.73</v>
      </c>
      <c r="F408" s="70">
        <f t="shared" si="26"/>
        <v>15.75</v>
      </c>
      <c r="G408" s="70">
        <f t="shared" si="27"/>
        <v>594.2475</v>
      </c>
      <c r="H408" s="68" t="s">
        <v>15</v>
      </c>
      <c r="I408" s="79">
        <v>15</v>
      </c>
    </row>
    <row r="409" s="43" customFormat="1" ht="67.5" spans="1:9">
      <c r="A409" s="57">
        <v>13</v>
      </c>
      <c r="B409" s="39" t="s">
        <v>360</v>
      </c>
      <c r="C409" s="39" t="s">
        <v>361</v>
      </c>
      <c r="D409" s="94" t="s">
        <v>174</v>
      </c>
      <c r="E409" s="94">
        <v>1</v>
      </c>
      <c r="F409" s="70">
        <f t="shared" si="26"/>
        <v>10.5</v>
      </c>
      <c r="G409" s="70">
        <f t="shared" si="27"/>
        <v>10.5</v>
      </c>
      <c r="H409" s="68" t="s">
        <v>15</v>
      </c>
      <c r="I409" s="79">
        <v>10</v>
      </c>
    </row>
    <row r="410" s="43" customFormat="1" ht="67.5" spans="1:9">
      <c r="A410" s="57">
        <v>14</v>
      </c>
      <c r="B410" s="39" t="s">
        <v>456</v>
      </c>
      <c r="C410" s="39" t="s">
        <v>457</v>
      </c>
      <c r="D410" s="94" t="s">
        <v>174</v>
      </c>
      <c r="E410" s="94">
        <v>2</v>
      </c>
      <c r="F410" s="70">
        <f t="shared" si="26"/>
        <v>10.5</v>
      </c>
      <c r="G410" s="70">
        <f t="shared" si="27"/>
        <v>21</v>
      </c>
      <c r="H410" s="68" t="s">
        <v>15</v>
      </c>
      <c r="I410" s="79">
        <v>10</v>
      </c>
    </row>
    <row r="411" s="43" customFormat="1" ht="45" spans="1:9">
      <c r="A411" s="57">
        <v>15</v>
      </c>
      <c r="B411" s="39" t="s">
        <v>458</v>
      </c>
      <c r="C411" s="39" t="s">
        <v>459</v>
      </c>
      <c r="D411" s="94" t="s">
        <v>174</v>
      </c>
      <c r="E411" s="94">
        <v>1</v>
      </c>
      <c r="F411" s="70">
        <f t="shared" si="26"/>
        <v>10.5</v>
      </c>
      <c r="G411" s="70">
        <f t="shared" si="27"/>
        <v>10.5</v>
      </c>
      <c r="H411" s="68" t="s">
        <v>15</v>
      </c>
      <c r="I411" s="79">
        <v>10</v>
      </c>
    </row>
    <row r="412" s="43" customFormat="1" ht="56.25" spans="1:9">
      <c r="A412" s="57">
        <v>16</v>
      </c>
      <c r="B412" s="39" t="s">
        <v>366</v>
      </c>
      <c r="C412" s="39" t="s">
        <v>367</v>
      </c>
      <c r="D412" s="94" t="s">
        <v>174</v>
      </c>
      <c r="E412" s="94">
        <v>25</v>
      </c>
      <c r="F412" s="70">
        <f t="shared" si="26"/>
        <v>10.5</v>
      </c>
      <c r="G412" s="70">
        <f t="shared" si="27"/>
        <v>262.5</v>
      </c>
      <c r="H412" s="68" t="s">
        <v>15</v>
      </c>
      <c r="I412" s="79">
        <v>10</v>
      </c>
    </row>
    <row r="413" s="43" customFormat="1" ht="56.25" spans="1:9">
      <c r="A413" s="57">
        <v>17</v>
      </c>
      <c r="B413" s="39" t="s">
        <v>460</v>
      </c>
      <c r="C413" s="39" t="s">
        <v>461</v>
      </c>
      <c r="D413" s="94" t="s">
        <v>174</v>
      </c>
      <c r="E413" s="94">
        <v>15</v>
      </c>
      <c r="F413" s="70">
        <f t="shared" si="26"/>
        <v>10.5</v>
      </c>
      <c r="G413" s="70">
        <f t="shared" si="27"/>
        <v>157.5</v>
      </c>
      <c r="H413" s="68" t="s">
        <v>15</v>
      </c>
      <c r="I413" s="79">
        <v>10</v>
      </c>
    </row>
    <row r="414" s="43" customFormat="1" ht="56.25" spans="1:9">
      <c r="A414" s="57">
        <v>18</v>
      </c>
      <c r="B414" s="39" t="s">
        <v>462</v>
      </c>
      <c r="C414" s="39" t="s">
        <v>463</v>
      </c>
      <c r="D414" s="94" t="s">
        <v>174</v>
      </c>
      <c r="E414" s="94">
        <v>1</v>
      </c>
      <c r="F414" s="70">
        <f t="shared" si="26"/>
        <v>10.5</v>
      </c>
      <c r="G414" s="70">
        <f t="shared" si="27"/>
        <v>10.5</v>
      </c>
      <c r="H414" s="68" t="s">
        <v>15</v>
      </c>
      <c r="I414" s="79">
        <v>10</v>
      </c>
    </row>
    <row r="415" s="43" customFormat="1" ht="52" customHeight="1" spans="1:9">
      <c r="A415" s="57">
        <v>19</v>
      </c>
      <c r="B415" s="39" t="s">
        <v>368</v>
      </c>
      <c r="C415" s="39" t="s">
        <v>369</v>
      </c>
      <c r="D415" s="94" t="s">
        <v>174</v>
      </c>
      <c r="E415" s="94">
        <v>2</v>
      </c>
      <c r="F415" s="70">
        <f t="shared" si="26"/>
        <v>10.5</v>
      </c>
      <c r="G415" s="70">
        <f t="shared" si="27"/>
        <v>21</v>
      </c>
      <c r="H415" s="68" t="s">
        <v>15</v>
      </c>
      <c r="I415" s="79">
        <v>10</v>
      </c>
    </row>
    <row r="416" s="43" customFormat="1" ht="45" spans="1:9">
      <c r="A416" s="57">
        <v>20</v>
      </c>
      <c r="B416" s="39" t="s">
        <v>464</v>
      </c>
      <c r="C416" s="39" t="s">
        <v>465</v>
      </c>
      <c r="D416" s="94" t="s">
        <v>174</v>
      </c>
      <c r="E416" s="94">
        <v>1</v>
      </c>
      <c r="F416" s="70">
        <f t="shared" si="26"/>
        <v>10.5</v>
      </c>
      <c r="G416" s="70">
        <f t="shared" si="27"/>
        <v>10.5</v>
      </c>
      <c r="H416" s="68" t="s">
        <v>15</v>
      </c>
      <c r="I416" s="79">
        <v>10</v>
      </c>
    </row>
    <row r="417" s="43" customFormat="1" ht="45" spans="1:9">
      <c r="A417" s="57">
        <v>21</v>
      </c>
      <c r="B417" s="39" t="s">
        <v>466</v>
      </c>
      <c r="C417" s="39" t="s">
        <v>467</v>
      </c>
      <c r="D417" s="94" t="s">
        <v>174</v>
      </c>
      <c r="E417" s="94">
        <v>1</v>
      </c>
      <c r="F417" s="70">
        <f t="shared" si="26"/>
        <v>84</v>
      </c>
      <c r="G417" s="70">
        <f t="shared" si="27"/>
        <v>84</v>
      </c>
      <c r="H417" s="68" t="s">
        <v>15</v>
      </c>
      <c r="I417" s="79">
        <v>80</v>
      </c>
    </row>
    <row r="418" s="43" customFormat="1" ht="45" spans="1:9">
      <c r="A418" s="57">
        <v>22</v>
      </c>
      <c r="B418" s="39" t="s">
        <v>468</v>
      </c>
      <c r="C418" s="39" t="s">
        <v>469</v>
      </c>
      <c r="D418" s="94" t="s">
        <v>174</v>
      </c>
      <c r="E418" s="94">
        <v>1</v>
      </c>
      <c r="F418" s="70">
        <f t="shared" si="26"/>
        <v>84</v>
      </c>
      <c r="G418" s="70">
        <f t="shared" si="27"/>
        <v>84</v>
      </c>
      <c r="H418" s="68" t="s">
        <v>15</v>
      </c>
      <c r="I418" s="79">
        <v>80</v>
      </c>
    </row>
    <row r="419" s="44" customFormat="1" ht="21" customHeight="1" spans="1:9">
      <c r="A419" s="84" t="s">
        <v>470</v>
      </c>
      <c r="B419" s="98" t="s">
        <v>471</v>
      </c>
      <c r="C419" s="98"/>
      <c r="D419" s="99"/>
      <c r="E419" s="99"/>
      <c r="F419" s="70"/>
      <c r="G419" s="82">
        <f>G420</f>
        <v>334523.7</v>
      </c>
      <c r="H419" s="64"/>
      <c r="I419" s="88"/>
    </row>
    <row r="420" s="45" customFormat="1" ht="33" customHeight="1" spans="1:9">
      <c r="A420" s="75">
        <v>1</v>
      </c>
      <c r="B420" s="65" t="s">
        <v>472</v>
      </c>
      <c r="C420" s="59"/>
      <c r="D420" s="32" t="s">
        <v>21</v>
      </c>
      <c r="E420" s="32">
        <v>21239.6</v>
      </c>
      <c r="F420" s="70">
        <f t="shared" si="26"/>
        <v>15.75</v>
      </c>
      <c r="G420" s="70">
        <f t="shared" ref="G420:G423" si="28">F420*E420</f>
        <v>334523.7</v>
      </c>
      <c r="H420" s="68" t="s">
        <v>15</v>
      </c>
      <c r="I420" s="112">
        <v>15</v>
      </c>
    </row>
    <row r="421" s="42" customFormat="1" ht="18" customHeight="1" spans="1:9">
      <c r="A421" s="84" t="s">
        <v>473</v>
      </c>
      <c r="B421" s="60" t="s">
        <v>474</v>
      </c>
      <c r="C421" s="59"/>
      <c r="D421" s="60"/>
      <c r="E421" s="100"/>
      <c r="F421" s="70"/>
      <c r="G421" s="82">
        <f>SUM(G422:G423)</f>
        <v>381579.555</v>
      </c>
      <c r="H421" s="64"/>
      <c r="I421" s="89"/>
    </row>
    <row r="422" s="45" customFormat="1" ht="38" customHeight="1" spans="1:9">
      <c r="A422" s="57">
        <v>1</v>
      </c>
      <c r="B422" s="30" t="s">
        <v>475</v>
      </c>
      <c r="C422" s="71"/>
      <c r="D422" s="32" t="s">
        <v>21</v>
      </c>
      <c r="E422" s="32">
        <v>21239.6</v>
      </c>
      <c r="F422" s="70">
        <f t="shared" si="26"/>
        <v>17.85</v>
      </c>
      <c r="G422" s="70">
        <f t="shared" si="28"/>
        <v>379126.86</v>
      </c>
      <c r="H422" s="68" t="s">
        <v>15</v>
      </c>
      <c r="I422" s="113">
        <v>17</v>
      </c>
    </row>
    <row r="423" s="45" customFormat="1" ht="38" customHeight="1" spans="1:9">
      <c r="A423" s="57">
        <v>2</v>
      </c>
      <c r="B423" s="30" t="s">
        <v>476</v>
      </c>
      <c r="C423" s="71"/>
      <c r="D423" s="32" t="s">
        <v>21</v>
      </c>
      <c r="E423" s="32">
        <v>667.4</v>
      </c>
      <c r="F423" s="70">
        <f t="shared" si="26"/>
        <v>3.675</v>
      </c>
      <c r="G423" s="70">
        <f t="shared" si="28"/>
        <v>2452.695</v>
      </c>
      <c r="H423" s="68" t="s">
        <v>15</v>
      </c>
      <c r="I423" s="113">
        <v>3.5</v>
      </c>
    </row>
    <row r="424" s="42" customFormat="1" ht="20" customHeight="1" spans="1:9">
      <c r="A424" s="84" t="s">
        <v>477</v>
      </c>
      <c r="B424" s="101" t="s">
        <v>478</v>
      </c>
      <c r="C424" s="102"/>
      <c r="D424" s="101"/>
      <c r="E424" s="103"/>
      <c r="F424" s="104"/>
      <c r="G424" s="63">
        <f>SUM(G425:G427)</f>
        <v>1738074.25794306</v>
      </c>
      <c r="H424" s="64"/>
      <c r="I424" s="77"/>
    </row>
    <row r="425" s="43" customFormat="1" ht="40" customHeight="1" spans="1:9">
      <c r="A425" s="101">
        <v>1</v>
      </c>
      <c r="B425" s="105" t="s">
        <v>479</v>
      </c>
      <c r="C425" s="105" t="s">
        <v>480</v>
      </c>
      <c r="D425" s="75" t="s">
        <v>481</v>
      </c>
      <c r="E425" s="106">
        <f>G3+G118+G225+G230+G276+G319+G343+G365+G396+G419+G421</f>
        <v>7150214.9824875</v>
      </c>
      <c r="F425" s="107">
        <v>0.0359</v>
      </c>
      <c r="G425" s="67">
        <f>E425*F425</f>
        <v>256692.717871301</v>
      </c>
      <c r="H425" s="68" t="s">
        <v>482</v>
      </c>
      <c r="I425" s="78"/>
    </row>
    <row r="426" s="43" customFormat="1" ht="40" customHeight="1" spans="1:9">
      <c r="A426" s="84">
        <v>2</v>
      </c>
      <c r="B426" s="105" t="s">
        <v>483</v>
      </c>
      <c r="C426" s="105" t="s">
        <v>484</v>
      </c>
      <c r="D426" s="75" t="s">
        <v>481</v>
      </c>
      <c r="E426" s="106">
        <f>G3+G118+G225+G230+G276+G319+G343+G365+G396+G419+G421+G425</f>
        <v>7406907.7003588</v>
      </c>
      <c r="F426" s="107">
        <v>0.12</v>
      </c>
      <c r="G426" s="67">
        <f>E426*F426</f>
        <v>888828.924043056</v>
      </c>
      <c r="H426" s="68" t="s">
        <v>485</v>
      </c>
      <c r="I426" s="78"/>
    </row>
    <row r="427" s="43" customFormat="1" ht="40" customHeight="1" spans="1:9">
      <c r="A427" s="84">
        <v>3</v>
      </c>
      <c r="B427" s="105" t="s">
        <v>486</v>
      </c>
      <c r="C427" s="105"/>
      <c r="D427" s="75" t="s">
        <v>481</v>
      </c>
      <c r="E427" s="106">
        <f>G3+G118+G225+G230+G276+G319+G343+G365+G396+G419+G421+G425</f>
        <v>7406907.7003588</v>
      </c>
      <c r="F427" s="107">
        <v>0.08</v>
      </c>
      <c r="G427" s="67">
        <f>E427*F427</f>
        <v>592552.616028704</v>
      </c>
      <c r="H427" s="68" t="s">
        <v>485</v>
      </c>
      <c r="I427" s="78"/>
    </row>
    <row r="428" s="46" customFormat="1" ht="19" customHeight="1" spans="1:9">
      <c r="A428" s="84" t="s">
        <v>487</v>
      </c>
      <c r="B428" s="101" t="s">
        <v>488</v>
      </c>
      <c r="C428" s="102" t="s">
        <v>489</v>
      </c>
      <c r="D428" s="101" t="s">
        <v>481</v>
      </c>
      <c r="E428" s="103"/>
      <c r="F428" s="63"/>
      <c r="G428" s="63">
        <f>G3+G118+G225+G230+G276+G319+G343+G365+G396+G419+G421+G424</f>
        <v>8888289.24043056</v>
      </c>
      <c r="H428" s="64"/>
      <c r="I428" s="114"/>
    </row>
    <row r="429" s="42" customFormat="1" ht="19" customHeight="1" spans="1:9">
      <c r="A429" s="84" t="s">
        <v>490</v>
      </c>
      <c r="B429" s="101" t="s">
        <v>491</v>
      </c>
      <c r="C429" s="102" t="s">
        <v>492</v>
      </c>
      <c r="D429" s="101" t="s">
        <v>481</v>
      </c>
      <c r="E429" s="103">
        <f>G428</f>
        <v>8888289.24043056</v>
      </c>
      <c r="F429" s="107">
        <v>0.09</v>
      </c>
      <c r="G429" s="63">
        <f>E429*F429</f>
        <v>799946.031638751</v>
      </c>
      <c r="H429" s="64" t="s">
        <v>493</v>
      </c>
      <c r="I429" s="77"/>
    </row>
    <row r="430" s="42" customFormat="1" ht="19" customHeight="1" spans="1:9">
      <c r="A430" s="84" t="s">
        <v>494</v>
      </c>
      <c r="B430" s="101" t="s">
        <v>495</v>
      </c>
      <c r="C430" s="102"/>
      <c r="D430" s="101"/>
      <c r="E430" s="101"/>
      <c r="F430" s="104"/>
      <c r="G430" s="63">
        <f>G428+G429</f>
        <v>9688235.27206931</v>
      </c>
      <c r="H430" s="108"/>
      <c r="I430" s="77"/>
    </row>
    <row r="431" s="43" customFormat="1" ht="90" customHeight="1" spans="1:9">
      <c r="A431" s="102" t="s">
        <v>496</v>
      </c>
      <c r="B431" s="109"/>
      <c r="C431" s="109"/>
      <c r="D431" s="109"/>
      <c r="E431" s="110"/>
      <c r="F431" s="111"/>
      <c r="G431" s="111"/>
      <c r="H431" s="109"/>
      <c r="I431" s="78"/>
    </row>
  </sheetData>
  <mergeCells count="3">
    <mergeCell ref="A1:H1"/>
    <mergeCell ref="B430:F430"/>
    <mergeCell ref="A431:H431"/>
  </mergeCells>
  <pageMargins left="0.700694444444445" right="0.700694444444445" top="0.751388888888889" bottom="0.751388888888889" header="0.297916666666667" footer="0.297916666666667"/>
  <pageSetup paperSize="9" orientation="landscape" horizontalDpi="600"/>
  <headerFooter>
    <oddFooter>&amp;C第 &amp;P 页，共 &amp;N 页</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17"/>
  <sheetViews>
    <sheetView topLeftCell="A112" workbookViewId="0">
      <selection activeCell="J112" sqref="J112"/>
    </sheetView>
  </sheetViews>
  <sheetFormatPr defaultColWidth="8" defaultRowHeight="12.75"/>
  <cols>
    <col min="1" max="1" width="6.625" style="2" customWidth="1"/>
    <col min="2" max="2" width="25.625" style="18" customWidth="1"/>
    <col min="3" max="3" width="15.625" style="18" customWidth="1"/>
    <col min="4" max="4" width="6.625" style="3" customWidth="1"/>
    <col min="5" max="5" width="12.625" style="4" customWidth="1"/>
    <col min="6" max="6" width="15.625" style="2" customWidth="1"/>
    <col min="7" max="16384" width="8" style="2"/>
  </cols>
  <sheetData>
    <row r="1" s="1" customFormat="1" ht="22" customHeight="1" spans="1:244">
      <c r="A1" s="5" t="s">
        <v>510</v>
      </c>
      <c r="B1" s="5"/>
      <c r="C1" s="5"/>
      <c r="D1" s="19"/>
      <c r="E1" s="5"/>
      <c r="F1" s="5"/>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row>
    <row r="2" s="2" customFormat="1" ht="56" customHeight="1" spans="1:6">
      <c r="A2" s="6" t="s">
        <v>511</v>
      </c>
      <c r="B2" s="20"/>
      <c r="C2" s="20"/>
      <c r="D2" s="7"/>
      <c r="E2" s="8"/>
      <c r="F2" s="7"/>
    </row>
    <row r="3" s="2" customFormat="1" ht="39" customHeight="1" spans="1:6">
      <c r="A3" s="9" t="s">
        <v>512</v>
      </c>
      <c r="B3" s="9"/>
      <c r="C3" s="9"/>
      <c r="D3" s="21"/>
      <c r="E3" s="10"/>
      <c r="F3" s="9"/>
    </row>
    <row r="4" s="2" customFormat="1" ht="34.5" customHeight="1" spans="1:6">
      <c r="A4" s="11" t="s">
        <v>1</v>
      </c>
      <c r="B4" s="11" t="s">
        <v>513</v>
      </c>
      <c r="C4" s="11" t="s">
        <v>514</v>
      </c>
      <c r="D4" s="11" t="s">
        <v>4</v>
      </c>
      <c r="E4" s="12" t="s">
        <v>515</v>
      </c>
      <c r="F4" s="11" t="s">
        <v>8</v>
      </c>
    </row>
    <row r="5" s="2" customFormat="1" ht="27" customHeight="1" spans="1:6">
      <c r="A5" s="22">
        <v>1</v>
      </c>
      <c r="B5" s="23" t="s">
        <v>516</v>
      </c>
      <c r="C5" s="24" t="s">
        <v>517</v>
      </c>
      <c r="D5" s="25" t="s">
        <v>21</v>
      </c>
      <c r="E5" s="26"/>
      <c r="F5" s="27"/>
    </row>
    <row r="6" s="2" customFormat="1" ht="27" customHeight="1" spans="1:6">
      <c r="A6" s="22">
        <v>2</v>
      </c>
      <c r="B6" s="23" t="s">
        <v>518</v>
      </c>
      <c r="C6" s="24" t="s">
        <v>519</v>
      </c>
      <c r="D6" s="25" t="s">
        <v>21</v>
      </c>
      <c r="E6" s="26"/>
      <c r="F6" s="27"/>
    </row>
    <row r="7" s="2" customFormat="1" ht="44" customHeight="1" spans="1:6">
      <c r="A7" s="22">
        <v>3</v>
      </c>
      <c r="B7" s="23" t="s">
        <v>520</v>
      </c>
      <c r="C7" s="24" t="s">
        <v>521</v>
      </c>
      <c r="D7" s="25" t="s">
        <v>21</v>
      </c>
      <c r="E7" s="26"/>
      <c r="F7" s="27"/>
    </row>
    <row r="8" s="2" customFormat="1" ht="27" customHeight="1" spans="1:6">
      <c r="A8" s="22">
        <v>4</v>
      </c>
      <c r="B8" s="23" t="s">
        <v>522</v>
      </c>
      <c r="C8" s="23"/>
      <c r="D8" s="25" t="s">
        <v>21</v>
      </c>
      <c r="E8" s="26"/>
      <c r="F8" s="27"/>
    </row>
    <row r="9" s="2" customFormat="1" ht="27" customHeight="1" spans="1:6">
      <c r="A9" s="22">
        <v>5</v>
      </c>
      <c r="B9" s="24" t="s">
        <v>523</v>
      </c>
      <c r="C9" s="24"/>
      <c r="D9" s="25" t="s">
        <v>21</v>
      </c>
      <c r="E9" s="26"/>
      <c r="F9" s="27"/>
    </row>
    <row r="10" s="2" customFormat="1" ht="27" customHeight="1" spans="1:6">
      <c r="A10" s="22">
        <v>6</v>
      </c>
      <c r="B10" s="23" t="s">
        <v>524</v>
      </c>
      <c r="C10" s="23" t="s">
        <v>525</v>
      </c>
      <c r="D10" s="25" t="s">
        <v>21</v>
      </c>
      <c r="E10" s="26"/>
      <c r="F10" s="27"/>
    </row>
    <row r="11" s="2" customFormat="1" ht="27" customHeight="1" spans="1:6">
      <c r="A11" s="22">
        <v>7</v>
      </c>
      <c r="B11" s="24" t="s">
        <v>45</v>
      </c>
      <c r="C11" s="24" t="s">
        <v>526</v>
      </c>
      <c r="D11" s="25" t="s">
        <v>21</v>
      </c>
      <c r="E11" s="26"/>
      <c r="F11" s="27"/>
    </row>
    <row r="12" s="2" customFormat="1" ht="27" customHeight="1" spans="1:6">
      <c r="A12" s="22">
        <v>8</v>
      </c>
      <c r="B12" s="23" t="s">
        <v>527</v>
      </c>
      <c r="C12" s="24" t="s">
        <v>528</v>
      </c>
      <c r="D12" s="28" t="s">
        <v>403</v>
      </c>
      <c r="E12" s="26"/>
      <c r="F12" s="27"/>
    </row>
    <row r="13" s="2" customFormat="1" ht="27" customHeight="1" spans="1:6">
      <c r="A13" s="22">
        <v>9</v>
      </c>
      <c r="B13" s="23" t="s">
        <v>529</v>
      </c>
      <c r="C13" s="24" t="s">
        <v>530</v>
      </c>
      <c r="D13" s="25" t="s">
        <v>21</v>
      </c>
      <c r="E13" s="26"/>
      <c r="F13" s="27"/>
    </row>
    <row r="14" s="2" customFormat="1" ht="27" customHeight="1" spans="1:6">
      <c r="A14" s="22">
        <v>10</v>
      </c>
      <c r="B14" s="23" t="s">
        <v>531</v>
      </c>
      <c r="C14" s="23" t="s">
        <v>532</v>
      </c>
      <c r="D14" s="25" t="s">
        <v>21</v>
      </c>
      <c r="E14" s="26"/>
      <c r="F14" s="27"/>
    </row>
    <row r="15" s="2" customFormat="1" ht="27" customHeight="1" spans="1:6">
      <c r="A15" s="22">
        <v>11</v>
      </c>
      <c r="B15" s="29" t="s">
        <v>87</v>
      </c>
      <c r="C15" s="24" t="s">
        <v>533</v>
      </c>
      <c r="D15" s="25" t="s">
        <v>21</v>
      </c>
      <c r="E15" s="26"/>
      <c r="F15" s="27"/>
    </row>
    <row r="16" s="2" customFormat="1" ht="27" customHeight="1" spans="1:6">
      <c r="A16" s="22">
        <v>12</v>
      </c>
      <c r="B16" s="23" t="s">
        <v>534</v>
      </c>
      <c r="C16" s="24" t="s">
        <v>535</v>
      </c>
      <c r="D16" s="25" t="s">
        <v>21</v>
      </c>
      <c r="E16" s="26"/>
      <c r="F16" s="27"/>
    </row>
    <row r="17" s="2" customFormat="1" ht="27" customHeight="1" spans="1:6">
      <c r="A17" s="22">
        <v>13</v>
      </c>
      <c r="B17" s="23" t="s">
        <v>536</v>
      </c>
      <c r="C17" s="24" t="s">
        <v>537</v>
      </c>
      <c r="D17" s="25" t="s">
        <v>42</v>
      </c>
      <c r="E17" s="26"/>
      <c r="F17" s="27"/>
    </row>
    <row r="18" s="2" customFormat="1" ht="27" customHeight="1" spans="1:6">
      <c r="A18" s="22">
        <v>14</v>
      </c>
      <c r="B18" s="24" t="s">
        <v>538</v>
      </c>
      <c r="C18" s="24" t="s">
        <v>99</v>
      </c>
      <c r="D18" s="25" t="s">
        <v>42</v>
      </c>
      <c r="E18" s="26"/>
      <c r="F18" s="27"/>
    </row>
    <row r="19" s="2" customFormat="1" ht="27" customHeight="1" spans="1:6">
      <c r="A19" s="22">
        <v>15</v>
      </c>
      <c r="B19" s="30" t="s">
        <v>112</v>
      </c>
      <c r="C19" s="31" t="s">
        <v>539</v>
      </c>
      <c r="D19" s="32" t="s">
        <v>21</v>
      </c>
      <c r="E19" s="26"/>
      <c r="F19" s="33"/>
    </row>
    <row r="20" ht="27" customHeight="1" spans="1:6">
      <c r="A20" s="22">
        <v>16</v>
      </c>
      <c r="B20" s="30" t="s">
        <v>114</v>
      </c>
      <c r="C20" s="31" t="s">
        <v>540</v>
      </c>
      <c r="D20" s="32" t="s">
        <v>21</v>
      </c>
      <c r="E20" s="26"/>
      <c r="F20" s="33"/>
    </row>
    <row r="21" ht="27" customHeight="1" spans="1:6">
      <c r="A21" s="22">
        <v>17</v>
      </c>
      <c r="B21" s="30" t="s">
        <v>116</v>
      </c>
      <c r="C21" s="31" t="s">
        <v>541</v>
      </c>
      <c r="D21" s="32" t="s">
        <v>21</v>
      </c>
      <c r="E21" s="26"/>
      <c r="F21" s="33"/>
    </row>
    <row r="22" ht="27" customHeight="1" spans="1:6">
      <c r="A22" s="22">
        <v>18</v>
      </c>
      <c r="B22" s="30" t="s">
        <v>118</v>
      </c>
      <c r="C22" s="31" t="s">
        <v>542</v>
      </c>
      <c r="D22" s="32" t="s">
        <v>21</v>
      </c>
      <c r="E22" s="26"/>
      <c r="F22" s="33"/>
    </row>
    <row r="23" ht="27" customHeight="1" spans="1:6">
      <c r="A23" s="22">
        <v>19</v>
      </c>
      <c r="B23" s="30" t="s">
        <v>132</v>
      </c>
      <c r="C23" s="34" t="s">
        <v>543</v>
      </c>
      <c r="D23" s="32" t="s">
        <v>21</v>
      </c>
      <c r="E23" s="26"/>
      <c r="F23" s="33"/>
    </row>
    <row r="24" ht="27" customHeight="1" spans="1:6">
      <c r="A24" s="22">
        <v>20</v>
      </c>
      <c r="B24" s="30" t="s">
        <v>544</v>
      </c>
      <c r="C24" s="31" t="s">
        <v>545</v>
      </c>
      <c r="D24" s="32" t="s">
        <v>546</v>
      </c>
      <c r="E24" s="26"/>
      <c r="F24" s="33"/>
    </row>
    <row r="25" ht="27" customHeight="1" spans="1:6">
      <c r="A25" s="22">
        <v>21</v>
      </c>
      <c r="B25" s="30" t="s">
        <v>547</v>
      </c>
      <c r="C25" s="31" t="s">
        <v>548</v>
      </c>
      <c r="D25" s="32" t="s">
        <v>260</v>
      </c>
      <c r="E25" s="26"/>
      <c r="F25" s="33"/>
    </row>
    <row r="26" ht="27" customHeight="1" spans="1:6">
      <c r="A26" s="22">
        <v>22</v>
      </c>
      <c r="B26" s="30" t="s">
        <v>134</v>
      </c>
      <c r="C26" s="31"/>
      <c r="D26" s="32" t="s">
        <v>21</v>
      </c>
      <c r="E26" s="26"/>
      <c r="F26" s="27"/>
    </row>
    <row r="27" ht="27" customHeight="1" spans="1:6">
      <c r="A27" s="22">
        <v>23</v>
      </c>
      <c r="B27" s="30" t="s">
        <v>136</v>
      </c>
      <c r="C27" s="31"/>
      <c r="D27" s="32" t="s">
        <v>21</v>
      </c>
      <c r="E27" s="26"/>
      <c r="F27" s="33"/>
    </row>
    <row r="28" ht="27" customHeight="1" spans="1:6">
      <c r="A28" s="22">
        <v>24</v>
      </c>
      <c r="B28" s="30" t="s">
        <v>138</v>
      </c>
      <c r="C28" s="31" t="s">
        <v>549</v>
      </c>
      <c r="D28" s="32" t="s">
        <v>21</v>
      </c>
      <c r="E28" s="26"/>
      <c r="F28" s="27"/>
    </row>
    <row r="29" ht="27" customHeight="1" spans="1:6">
      <c r="A29" s="22">
        <v>25</v>
      </c>
      <c r="B29" s="31" t="s">
        <v>550</v>
      </c>
      <c r="C29" s="31" t="s">
        <v>551</v>
      </c>
      <c r="D29" s="32" t="s">
        <v>21</v>
      </c>
      <c r="E29" s="26"/>
      <c r="F29" s="33"/>
    </row>
    <row r="30" ht="27" customHeight="1" spans="1:6">
      <c r="A30" s="22">
        <v>26</v>
      </c>
      <c r="B30" s="30" t="s">
        <v>552</v>
      </c>
      <c r="C30" s="31" t="s">
        <v>553</v>
      </c>
      <c r="D30" s="32" t="s">
        <v>21</v>
      </c>
      <c r="E30" s="26"/>
      <c r="F30" s="27"/>
    </row>
    <row r="31" ht="27" customHeight="1" spans="1:6">
      <c r="A31" s="22">
        <v>27</v>
      </c>
      <c r="B31" s="30" t="s">
        <v>554</v>
      </c>
      <c r="C31" s="31" t="s">
        <v>555</v>
      </c>
      <c r="D31" s="32" t="s">
        <v>21</v>
      </c>
      <c r="E31" s="26"/>
      <c r="F31" s="27"/>
    </row>
    <row r="32" ht="27" customHeight="1" spans="1:6">
      <c r="A32" s="22">
        <v>28</v>
      </c>
      <c r="B32" s="31" t="s">
        <v>556</v>
      </c>
      <c r="C32" s="31" t="s">
        <v>557</v>
      </c>
      <c r="D32" s="32" t="s">
        <v>21</v>
      </c>
      <c r="E32" s="26"/>
      <c r="F32" s="27"/>
    </row>
    <row r="33" ht="27" customHeight="1" spans="1:6">
      <c r="A33" s="22">
        <v>29</v>
      </c>
      <c r="B33" s="30" t="s">
        <v>187</v>
      </c>
      <c r="C33" s="31" t="s">
        <v>558</v>
      </c>
      <c r="D33" s="32" t="s">
        <v>42</v>
      </c>
      <c r="E33" s="26"/>
      <c r="F33" s="27"/>
    </row>
    <row r="34" ht="27" customHeight="1" spans="1:6">
      <c r="A34" s="22">
        <v>30</v>
      </c>
      <c r="B34" s="30" t="s">
        <v>189</v>
      </c>
      <c r="C34" s="31"/>
      <c r="D34" s="32" t="s">
        <v>42</v>
      </c>
      <c r="E34" s="26"/>
      <c r="F34" s="27"/>
    </row>
    <row r="35" ht="27" customHeight="1" spans="1:6">
      <c r="A35" s="22">
        <v>31</v>
      </c>
      <c r="B35" s="30" t="s">
        <v>191</v>
      </c>
      <c r="C35" s="31"/>
      <c r="D35" s="32" t="s">
        <v>42</v>
      </c>
      <c r="E35" s="26"/>
      <c r="F35" s="27"/>
    </row>
    <row r="36" ht="27" customHeight="1" spans="1:6">
      <c r="A36" s="22">
        <v>32</v>
      </c>
      <c r="B36" s="30" t="s">
        <v>193</v>
      </c>
      <c r="C36" s="31" t="s">
        <v>559</v>
      </c>
      <c r="D36" s="32" t="s">
        <v>21</v>
      </c>
      <c r="E36" s="26"/>
      <c r="F36" s="27"/>
    </row>
    <row r="37" ht="27" customHeight="1" spans="1:6">
      <c r="A37" s="22">
        <v>33</v>
      </c>
      <c r="B37" s="31" t="s">
        <v>560</v>
      </c>
      <c r="C37" s="31"/>
      <c r="D37" s="32" t="s">
        <v>21</v>
      </c>
      <c r="E37" s="26"/>
      <c r="F37" s="27"/>
    </row>
    <row r="38" ht="27" customHeight="1" spans="1:6">
      <c r="A38" s="22">
        <v>34</v>
      </c>
      <c r="B38" s="31" t="s">
        <v>561</v>
      </c>
      <c r="C38" s="31"/>
      <c r="D38" s="32" t="s">
        <v>21</v>
      </c>
      <c r="E38" s="26"/>
      <c r="F38" s="27"/>
    </row>
    <row r="39" ht="27" customHeight="1" spans="1:6">
      <c r="A39" s="22">
        <v>35</v>
      </c>
      <c r="B39" s="30" t="s">
        <v>212</v>
      </c>
      <c r="C39" s="31"/>
      <c r="D39" s="32" t="s">
        <v>21</v>
      </c>
      <c r="E39" s="26"/>
      <c r="F39" s="27"/>
    </row>
    <row r="40" ht="27" customHeight="1" spans="1:6">
      <c r="A40" s="22">
        <v>36</v>
      </c>
      <c r="B40" s="30" t="s">
        <v>215</v>
      </c>
      <c r="C40" s="31"/>
      <c r="D40" s="32" t="s">
        <v>42</v>
      </c>
      <c r="E40" s="26"/>
      <c r="F40" s="27"/>
    </row>
    <row r="41" ht="27" customHeight="1" spans="1:6">
      <c r="A41" s="22">
        <v>37</v>
      </c>
      <c r="B41" s="30" t="s">
        <v>217</v>
      </c>
      <c r="C41" s="31" t="s">
        <v>562</v>
      </c>
      <c r="D41" s="32" t="s">
        <v>42</v>
      </c>
      <c r="E41" s="26"/>
      <c r="F41" s="27"/>
    </row>
    <row r="42" ht="46" customHeight="1" spans="1:6">
      <c r="A42" s="22">
        <v>38</v>
      </c>
      <c r="B42" s="30" t="s">
        <v>219</v>
      </c>
      <c r="C42" s="31" t="s">
        <v>563</v>
      </c>
      <c r="D42" s="32" t="s">
        <v>21</v>
      </c>
      <c r="E42" s="26"/>
      <c r="F42" s="27"/>
    </row>
    <row r="43" ht="27" customHeight="1" spans="1:6">
      <c r="A43" s="22">
        <v>39</v>
      </c>
      <c r="B43" s="30" t="s">
        <v>221</v>
      </c>
      <c r="C43" s="31" t="s">
        <v>562</v>
      </c>
      <c r="D43" s="32" t="s">
        <v>42</v>
      </c>
      <c r="E43" s="26"/>
      <c r="F43" s="27"/>
    </row>
    <row r="44" ht="48" customHeight="1" spans="1:6">
      <c r="A44" s="22">
        <v>40</v>
      </c>
      <c r="B44" s="30" t="s">
        <v>223</v>
      </c>
      <c r="C44" s="31" t="s">
        <v>564</v>
      </c>
      <c r="D44" s="32" t="s">
        <v>174</v>
      </c>
      <c r="E44" s="26"/>
      <c r="F44" s="27"/>
    </row>
    <row r="45" ht="41" customHeight="1" spans="1:6">
      <c r="A45" s="22">
        <v>41</v>
      </c>
      <c r="B45" s="30" t="s">
        <v>225</v>
      </c>
      <c r="C45" s="31" t="s">
        <v>565</v>
      </c>
      <c r="D45" s="32" t="s">
        <v>174</v>
      </c>
      <c r="E45" s="26"/>
      <c r="F45" s="27"/>
    </row>
    <row r="46" ht="47" customHeight="1" spans="1:6">
      <c r="A46" s="22">
        <v>42</v>
      </c>
      <c r="B46" s="30" t="s">
        <v>227</v>
      </c>
      <c r="C46" s="31" t="s">
        <v>566</v>
      </c>
      <c r="D46" s="32" t="s">
        <v>42</v>
      </c>
      <c r="E46" s="26"/>
      <c r="F46" s="27"/>
    </row>
    <row r="47" ht="27" customHeight="1" spans="1:6">
      <c r="A47" s="22">
        <v>43</v>
      </c>
      <c r="B47" s="30" t="s">
        <v>229</v>
      </c>
      <c r="C47" s="31" t="s">
        <v>567</v>
      </c>
      <c r="D47" s="32" t="s">
        <v>42</v>
      </c>
      <c r="E47" s="26"/>
      <c r="F47" s="27"/>
    </row>
    <row r="48" ht="27" customHeight="1" spans="1:6">
      <c r="A48" s="22">
        <v>44</v>
      </c>
      <c r="B48" s="30" t="s">
        <v>231</v>
      </c>
      <c r="C48" s="31"/>
      <c r="D48" s="32" t="s">
        <v>42</v>
      </c>
      <c r="E48" s="26"/>
      <c r="F48" s="27"/>
    </row>
    <row r="49" ht="27" customHeight="1" spans="1:6">
      <c r="A49" s="22">
        <v>45</v>
      </c>
      <c r="B49" s="30" t="s">
        <v>568</v>
      </c>
      <c r="C49" s="31"/>
      <c r="D49" s="32" t="s">
        <v>21</v>
      </c>
      <c r="E49" s="26"/>
      <c r="F49" s="27"/>
    </row>
    <row r="50" ht="27" customHeight="1" spans="1:6">
      <c r="A50" s="22">
        <v>46</v>
      </c>
      <c r="B50" s="30" t="s">
        <v>250</v>
      </c>
      <c r="C50" s="31"/>
      <c r="D50" s="32" t="s">
        <v>21</v>
      </c>
      <c r="E50" s="26"/>
      <c r="F50" s="27"/>
    </row>
    <row r="51" ht="27" customHeight="1" spans="1:6">
      <c r="A51" s="22">
        <v>47</v>
      </c>
      <c r="B51" s="31" t="s">
        <v>569</v>
      </c>
      <c r="C51" s="31"/>
      <c r="D51" s="32" t="s">
        <v>21</v>
      </c>
      <c r="E51" s="26"/>
      <c r="F51" s="27"/>
    </row>
    <row r="52" ht="27" customHeight="1" spans="1:6">
      <c r="A52" s="22">
        <v>48</v>
      </c>
      <c r="B52" s="31" t="s">
        <v>569</v>
      </c>
      <c r="C52" s="31"/>
      <c r="D52" s="32" t="s">
        <v>21</v>
      </c>
      <c r="E52" s="26"/>
      <c r="F52" s="27"/>
    </row>
    <row r="53" ht="27" customHeight="1" spans="1:6">
      <c r="A53" s="22">
        <v>49</v>
      </c>
      <c r="B53" s="30" t="s">
        <v>570</v>
      </c>
      <c r="C53" s="31"/>
      <c r="D53" s="32" t="s">
        <v>174</v>
      </c>
      <c r="E53" s="26"/>
      <c r="F53" s="27"/>
    </row>
    <row r="54" ht="27" customHeight="1" spans="1:6">
      <c r="A54" s="22">
        <v>50</v>
      </c>
      <c r="B54" s="30" t="s">
        <v>571</v>
      </c>
      <c r="C54" s="30"/>
      <c r="D54" s="32" t="s">
        <v>174</v>
      </c>
      <c r="E54" s="26"/>
      <c r="F54" s="27"/>
    </row>
    <row r="55" ht="27" customHeight="1" spans="1:6">
      <c r="A55" s="22">
        <v>51</v>
      </c>
      <c r="B55" s="30" t="s">
        <v>572</v>
      </c>
      <c r="C55" s="30"/>
      <c r="D55" s="32" t="s">
        <v>174</v>
      </c>
      <c r="E55" s="26"/>
      <c r="F55" s="27"/>
    </row>
    <row r="56" ht="45" customHeight="1" spans="1:6">
      <c r="A56" s="22">
        <v>52</v>
      </c>
      <c r="B56" s="30" t="s">
        <v>573</v>
      </c>
      <c r="C56" s="31" t="s">
        <v>574</v>
      </c>
      <c r="D56" s="32" t="s">
        <v>174</v>
      </c>
      <c r="E56" s="26"/>
      <c r="F56" s="27"/>
    </row>
    <row r="57" ht="35" customHeight="1" spans="1:6">
      <c r="A57" s="22">
        <v>53</v>
      </c>
      <c r="B57" s="30" t="s">
        <v>575</v>
      </c>
      <c r="C57" s="31" t="s">
        <v>576</v>
      </c>
      <c r="D57" s="32" t="s">
        <v>174</v>
      </c>
      <c r="E57" s="26"/>
      <c r="F57" s="27"/>
    </row>
    <row r="58" ht="27" customHeight="1" spans="1:6">
      <c r="A58" s="22">
        <v>54</v>
      </c>
      <c r="B58" s="30" t="s">
        <v>577</v>
      </c>
      <c r="C58" s="31" t="s">
        <v>578</v>
      </c>
      <c r="D58" s="32" t="s">
        <v>174</v>
      </c>
      <c r="E58" s="26"/>
      <c r="F58" s="27"/>
    </row>
    <row r="59" ht="27" customHeight="1" spans="1:6">
      <c r="A59" s="22">
        <v>55</v>
      </c>
      <c r="B59" s="30" t="s">
        <v>579</v>
      </c>
      <c r="C59" s="34" t="s">
        <v>580</v>
      </c>
      <c r="D59" s="32" t="s">
        <v>174</v>
      </c>
      <c r="E59" s="26"/>
      <c r="F59" s="27"/>
    </row>
    <row r="60" ht="27" customHeight="1" spans="1:6">
      <c r="A60" s="22">
        <v>56</v>
      </c>
      <c r="B60" s="30" t="s">
        <v>581</v>
      </c>
      <c r="C60" s="31" t="s">
        <v>582</v>
      </c>
      <c r="D60" s="32" t="s">
        <v>174</v>
      </c>
      <c r="E60" s="26"/>
      <c r="F60" s="27"/>
    </row>
    <row r="61" ht="27" customHeight="1" spans="1:6">
      <c r="A61" s="22">
        <v>57</v>
      </c>
      <c r="B61" s="30" t="s">
        <v>583</v>
      </c>
      <c r="C61" s="31" t="s">
        <v>584</v>
      </c>
      <c r="D61" s="32" t="s">
        <v>174</v>
      </c>
      <c r="E61" s="26"/>
      <c r="F61" s="27"/>
    </row>
    <row r="62" ht="27" customHeight="1" spans="1:6">
      <c r="A62" s="22">
        <v>58</v>
      </c>
      <c r="B62" s="30" t="s">
        <v>585</v>
      </c>
      <c r="C62" s="31" t="s">
        <v>586</v>
      </c>
      <c r="D62" s="32" t="s">
        <v>42</v>
      </c>
      <c r="E62" s="26"/>
      <c r="F62" s="27"/>
    </row>
    <row r="63" ht="27" customHeight="1" spans="1:6">
      <c r="A63" s="22">
        <v>59</v>
      </c>
      <c r="B63" s="30" t="s">
        <v>587</v>
      </c>
      <c r="C63" s="31" t="s">
        <v>588</v>
      </c>
      <c r="D63" s="32" t="s">
        <v>589</v>
      </c>
      <c r="E63" s="26"/>
      <c r="F63" s="27"/>
    </row>
    <row r="64" ht="27" customHeight="1" spans="1:6">
      <c r="A64" s="22">
        <v>60</v>
      </c>
      <c r="B64" s="30" t="s">
        <v>590</v>
      </c>
      <c r="C64" s="31" t="s">
        <v>591</v>
      </c>
      <c r="D64" s="32" t="s">
        <v>42</v>
      </c>
      <c r="E64" s="26"/>
      <c r="F64" s="27"/>
    </row>
    <row r="65" ht="27" customHeight="1" spans="1:6">
      <c r="A65" s="22">
        <v>61</v>
      </c>
      <c r="B65" s="30" t="s">
        <v>592</v>
      </c>
      <c r="C65" s="31" t="s">
        <v>591</v>
      </c>
      <c r="D65" s="32" t="s">
        <v>42</v>
      </c>
      <c r="E65" s="26"/>
      <c r="F65" s="27"/>
    </row>
    <row r="66" ht="27" customHeight="1" spans="1:6">
      <c r="A66" s="22">
        <v>62</v>
      </c>
      <c r="B66" s="30" t="s">
        <v>593</v>
      </c>
      <c r="C66" s="31" t="s">
        <v>594</v>
      </c>
      <c r="D66" s="32" t="s">
        <v>21</v>
      </c>
      <c r="E66" s="26"/>
      <c r="F66" s="27"/>
    </row>
    <row r="67" ht="27" customHeight="1" spans="1:6">
      <c r="A67" s="22">
        <v>63</v>
      </c>
      <c r="B67" s="30" t="s">
        <v>595</v>
      </c>
      <c r="C67" s="31"/>
      <c r="D67" s="32" t="s">
        <v>174</v>
      </c>
      <c r="E67" s="26"/>
      <c r="F67" s="27"/>
    </row>
    <row r="68" ht="27" customHeight="1" spans="1:6">
      <c r="A68" s="22">
        <v>64</v>
      </c>
      <c r="B68" s="30" t="s">
        <v>596</v>
      </c>
      <c r="C68" s="31"/>
      <c r="D68" s="32" t="s">
        <v>589</v>
      </c>
      <c r="E68" s="26"/>
      <c r="F68" s="27"/>
    </row>
    <row r="69" ht="27" customHeight="1" spans="1:6">
      <c r="A69" s="22">
        <v>65</v>
      </c>
      <c r="B69" s="30" t="s">
        <v>597</v>
      </c>
      <c r="C69" s="31"/>
      <c r="D69" s="32" t="s">
        <v>589</v>
      </c>
      <c r="E69" s="26"/>
      <c r="F69" s="27"/>
    </row>
    <row r="70" ht="27" customHeight="1" spans="1:6">
      <c r="A70" s="22">
        <v>66</v>
      </c>
      <c r="B70" s="30" t="s">
        <v>598</v>
      </c>
      <c r="C70" s="31"/>
      <c r="D70" s="32" t="s">
        <v>589</v>
      </c>
      <c r="E70" s="26"/>
      <c r="F70" s="27"/>
    </row>
    <row r="71" ht="27" customHeight="1" spans="1:6">
      <c r="A71" s="22">
        <v>67</v>
      </c>
      <c r="B71" s="30" t="s">
        <v>599</v>
      </c>
      <c r="C71" s="31"/>
      <c r="D71" s="32" t="s">
        <v>589</v>
      </c>
      <c r="E71" s="26"/>
      <c r="F71" s="27"/>
    </row>
    <row r="72" ht="27" customHeight="1" spans="1:6">
      <c r="A72" s="22">
        <v>68</v>
      </c>
      <c r="B72" s="30" t="s">
        <v>600</v>
      </c>
      <c r="C72" s="31" t="s">
        <v>601</v>
      </c>
      <c r="D72" s="32" t="s">
        <v>589</v>
      </c>
      <c r="E72" s="26"/>
      <c r="F72" s="27"/>
    </row>
    <row r="73" ht="27" customHeight="1" spans="1:6">
      <c r="A73" s="22">
        <v>69</v>
      </c>
      <c r="B73" s="30" t="s">
        <v>602</v>
      </c>
      <c r="C73" s="34" t="s">
        <v>601</v>
      </c>
      <c r="D73" s="32" t="s">
        <v>589</v>
      </c>
      <c r="E73" s="26"/>
      <c r="F73" s="27"/>
    </row>
    <row r="74" ht="27" customHeight="1" spans="1:6">
      <c r="A74" s="22">
        <v>70</v>
      </c>
      <c r="B74" s="30" t="s">
        <v>603</v>
      </c>
      <c r="C74" s="31" t="s">
        <v>604</v>
      </c>
      <c r="D74" s="32" t="s">
        <v>174</v>
      </c>
      <c r="E74" s="26"/>
      <c r="F74" s="27"/>
    </row>
    <row r="75" ht="27" customHeight="1" spans="1:6">
      <c r="A75" s="22">
        <v>71</v>
      </c>
      <c r="B75" s="30" t="s">
        <v>605</v>
      </c>
      <c r="C75" s="31" t="s">
        <v>606</v>
      </c>
      <c r="D75" s="32" t="s">
        <v>260</v>
      </c>
      <c r="E75" s="26"/>
      <c r="F75" s="27"/>
    </row>
    <row r="76" ht="27" customHeight="1" spans="1:6">
      <c r="A76" s="22">
        <v>72</v>
      </c>
      <c r="B76" s="30" t="s">
        <v>607</v>
      </c>
      <c r="C76" s="31"/>
      <c r="D76" s="32" t="s">
        <v>608</v>
      </c>
      <c r="E76" s="26"/>
      <c r="F76" s="27"/>
    </row>
    <row r="77" ht="27" customHeight="1" spans="1:6">
      <c r="A77" s="22">
        <v>73</v>
      </c>
      <c r="B77" s="30" t="s">
        <v>609</v>
      </c>
      <c r="C77" s="31" t="s">
        <v>610</v>
      </c>
      <c r="D77" s="32" t="s">
        <v>589</v>
      </c>
      <c r="E77" s="26"/>
      <c r="F77" s="27"/>
    </row>
    <row r="78" ht="27" customHeight="1" spans="1:6">
      <c r="A78" s="22">
        <v>74</v>
      </c>
      <c r="B78" s="23" t="s">
        <v>611</v>
      </c>
      <c r="C78" s="35"/>
      <c r="D78" s="32" t="s">
        <v>260</v>
      </c>
      <c r="E78" s="26"/>
      <c r="F78" s="27"/>
    </row>
    <row r="79" ht="27" customHeight="1" spans="1:6">
      <c r="A79" s="22">
        <v>75</v>
      </c>
      <c r="B79" s="23" t="s">
        <v>612</v>
      </c>
      <c r="C79" s="35" t="s">
        <v>613</v>
      </c>
      <c r="D79" s="36" t="s">
        <v>174</v>
      </c>
      <c r="E79" s="26"/>
      <c r="F79" s="27"/>
    </row>
    <row r="80" ht="27" customHeight="1" spans="1:6">
      <c r="A80" s="22">
        <v>76</v>
      </c>
      <c r="B80" s="31" t="s">
        <v>306</v>
      </c>
      <c r="C80" s="30" t="s">
        <v>614</v>
      </c>
      <c r="D80" s="36" t="s">
        <v>308</v>
      </c>
      <c r="E80" s="26"/>
      <c r="F80" s="27"/>
    </row>
    <row r="81" ht="27" customHeight="1" spans="1:6">
      <c r="A81" s="22">
        <v>77</v>
      </c>
      <c r="B81" s="31" t="s">
        <v>309</v>
      </c>
      <c r="C81" s="30" t="s">
        <v>615</v>
      </c>
      <c r="D81" s="36" t="s">
        <v>308</v>
      </c>
      <c r="E81" s="26"/>
      <c r="F81" s="27"/>
    </row>
    <row r="82" ht="27" customHeight="1" spans="1:6">
      <c r="A82" s="22">
        <v>78</v>
      </c>
      <c r="B82" s="23" t="s">
        <v>616</v>
      </c>
      <c r="C82" s="23" t="s">
        <v>617</v>
      </c>
      <c r="D82" s="36" t="s">
        <v>42</v>
      </c>
      <c r="E82" s="26"/>
      <c r="F82" s="27"/>
    </row>
    <row r="83" ht="27" customHeight="1" spans="1:6">
      <c r="A83" s="22">
        <v>79</v>
      </c>
      <c r="B83" s="23" t="s">
        <v>618</v>
      </c>
      <c r="C83" s="23" t="s">
        <v>619</v>
      </c>
      <c r="D83" s="36" t="s">
        <v>42</v>
      </c>
      <c r="E83" s="26"/>
      <c r="F83" s="27"/>
    </row>
    <row r="84" ht="27" customHeight="1" spans="1:6">
      <c r="A84" s="22">
        <v>80</v>
      </c>
      <c r="B84" s="23" t="s">
        <v>620</v>
      </c>
      <c r="C84" s="23" t="s">
        <v>621</v>
      </c>
      <c r="D84" s="36" t="s">
        <v>42</v>
      </c>
      <c r="E84" s="26"/>
      <c r="F84" s="27"/>
    </row>
    <row r="85" ht="27" customHeight="1" spans="1:6">
      <c r="A85" s="22">
        <v>81</v>
      </c>
      <c r="B85" s="23" t="s">
        <v>622</v>
      </c>
      <c r="C85" s="23" t="s">
        <v>621</v>
      </c>
      <c r="D85" s="37" t="s">
        <v>174</v>
      </c>
      <c r="E85" s="26"/>
      <c r="F85" s="27"/>
    </row>
    <row r="86" ht="27" customHeight="1" spans="1:6">
      <c r="A86" s="22">
        <v>82</v>
      </c>
      <c r="B86" s="23" t="s">
        <v>623</v>
      </c>
      <c r="C86" s="23" t="s">
        <v>624</v>
      </c>
      <c r="D86" s="37" t="s">
        <v>174</v>
      </c>
      <c r="E86" s="26"/>
      <c r="F86" s="27"/>
    </row>
    <row r="87" ht="27" customHeight="1" spans="1:6">
      <c r="A87" s="22">
        <v>83</v>
      </c>
      <c r="B87" s="38" t="s">
        <v>625</v>
      </c>
      <c r="C87" s="39" t="s">
        <v>621</v>
      </c>
      <c r="D87" s="37" t="s">
        <v>174</v>
      </c>
      <c r="E87" s="26"/>
      <c r="F87" s="27"/>
    </row>
    <row r="88" ht="63" customHeight="1" spans="1:6">
      <c r="A88" s="22">
        <v>84</v>
      </c>
      <c r="B88" s="38" t="s">
        <v>370</v>
      </c>
      <c r="C88" s="38" t="s">
        <v>626</v>
      </c>
      <c r="D88" s="37" t="s">
        <v>372</v>
      </c>
      <c r="E88" s="26"/>
      <c r="F88" s="27"/>
    </row>
    <row r="89" ht="63" customHeight="1" spans="1:6">
      <c r="A89" s="22">
        <v>85</v>
      </c>
      <c r="B89" s="38" t="s">
        <v>373</v>
      </c>
      <c r="C89" s="38" t="s">
        <v>627</v>
      </c>
      <c r="D89" s="37" t="s">
        <v>372</v>
      </c>
      <c r="E89" s="26"/>
      <c r="F89" s="27"/>
    </row>
    <row r="90" ht="45" customHeight="1" spans="1:6">
      <c r="A90" s="22">
        <v>86</v>
      </c>
      <c r="B90" s="38" t="s">
        <v>375</v>
      </c>
      <c r="C90" s="38" t="s">
        <v>628</v>
      </c>
      <c r="D90" s="37" t="s">
        <v>372</v>
      </c>
      <c r="E90" s="26"/>
      <c r="F90" s="27"/>
    </row>
    <row r="91" ht="41" customHeight="1" spans="1:6">
      <c r="A91" s="22">
        <v>87</v>
      </c>
      <c r="B91" s="38" t="s">
        <v>377</v>
      </c>
      <c r="C91" s="38" t="s">
        <v>629</v>
      </c>
      <c r="D91" s="37" t="s">
        <v>372</v>
      </c>
      <c r="E91" s="26"/>
      <c r="F91" s="27"/>
    </row>
    <row r="92" ht="27" customHeight="1" spans="1:6">
      <c r="A92" s="22">
        <v>88</v>
      </c>
      <c r="B92" s="38" t="s">
        <v>379</v>
      </c>
      <c r="C92" s="38" t="s">
        <v>630</v>
      </c>
      <c r="D92" s="37" t="s">
        <v>308</v>
      </c>
      <c r="E92" s="26"/>
      <c r="F92" s="27"/>
    </row>
    <row r="93" ht="27" customHeight="1" spans="1:6">
      <c r="A93" s="22">
        <v>89</v>
      </c>
      <c r="B93" s="38" t="s">
        <v>381</v>
      </c>
      <c r="C93" s="38" t="s">
        <v>631</v>
      </c>
      <c r="D93" s="37" t="s">
        <v>308</v>
      </c>
      <c r="E93" s="26"/>
      <c r="F93" s="27"/>
    </row>
    <row r="94" ht="27" customHeight="1" spans="1:6">
      <c r="A94" s="22">
        <v>90</v>
      </c>
      <c r="B94" s="38" t="s">
        <v>383</v>
      </c>
      <c r="C94" s="38" t="s">
        <v>632</v>
      </c>
      <c r="D94" s="37" t="s">
        <v>372</v>
      </c>
      <c r="E94" s="26"/>
      <c r="F94" s="27"/>
    </row>
    <row r="95" ht="27" customHeight="1" spans="1:6">
      <c r="A95" s="22">
        <v>91</v>
      </c>
      <c r="B95" s="38" t="s">
        <v>385</v>
      </c>
      <c r="C95" s="38" t="s">
        <v>633</v>
      </c>
      <c r="D95" s="37" t="s">
        <v>372</v>
      </c>
      <c r="E95" s="26"/>
      <c r="F95" s="27"/>
    </row>
    <row r="96" ht="27" customHeight="1" spans="1:6">
      <c r="A96" s="22">
        <v>92</v>
      </c>
      <c r="B96" s="23" t="s">
        <v>634</v>
      </c>
      <c r="C96" s="23"/>
      <c r="D96" s="37" t="s">
        <v>42</v>
      </c>
      <c r="E96" s="26"/>
      <c r="F96" s="27"/>
    </row>
    <row r="97" ht="27" customHeight="1" spans="1:6">
      <c r="A97" s="22">
        <v>93</v>
      </c>
      <c r="B97" s="23" t="s">
        <v>635</v>
      </c>
      <c r="C97" s="23"/>
      <c r="D97" s="37" t="s">
        <v>42</v>
      </c>
      <c r="E97" s="26"/>
      <c r="F97" s="27"/>
    </row>
    <row r="98" ht="27" customHeight="1" spans="1:6">
      <c r="A98" s="22">
        <v>94</v>
      </c>
      <c r="B98" s="23" t="s">
        <v>636</v>
      </c>
      <c r="C98" s="23"/>
      <c r="D98" s="28" t="s">
        <v>174</v>
      </c>
      <c r="E98" s="26"/>
      <c r="F98" s="27"/>
    </row>
    <row r="99" ht="27" customHeight="1" spans="1:6">
      <c r="A99" s="22">
        <v>95</v>
      </c>
      <c r="B99" s="23" t="s">
        <v>637</v>
      </c>
      <c r="C99" s="39" t="s">
        <v>621</v>
      </c>
      <c r="D99" s="37" t="s">
        <v>174</v>
      </c>
      <c r="E99" s="26"/>
      <c r="F99" s="27"/>
    </row>
    <row r="100" ht="27" customHeight="1" spans="1:6">
      <c r="A100" s="22">
        <v>96</v>
      </c>
      <c r="B100" s="23" t="s">
        <v>638</v>
      </c>
      <c r="C100" s="39" t="s">
        <v>621</v>
      </c>
      <c r="D100" s="37" t="s">
        <v>174</v>
      </c>
      <c r="E100" s="26"/>
      <c r="F100" s="27"/>
    </row>
    <row r="101" ht="27" customHeight="1" spans="1:6">
      <c r="A101" s="22">
        <v>97</v>
      </c>
      <c r="B101" s="23" t="s">
        <v>639</v>
      </c>
      <c r="C101" s="23"/>
      <c r="D101" s="32" t="s">
        <v>21</v>
      </c>
      <c r="E101" s="26"/>
      <c r="F101" s="27"/>
    </row>
    <row r="102" ht="27" customHeight="1" spans="1:6">
      <c r="A102" s="22">
        <v>98</v>
      </c>
      <c r="B102" s="23" t="s">
        <v>640</v>
      </c>
      <c r="C102" s="23"/>
      <c r="D102" s="32" t="s">
        <v>21</v>
      </c>
      <c r="E102" s="26"/>
      <c r="F102" s="27"/>
    </row>
    <row r="103" ht="27" customHeight="1" spans="1:6">
      <c r="A103" s="22">
        <v>99</v>
      </c>
      <c r="B103" s="23" t="s">
        <v>641</v>
      </c>
      <c r="C103" s="23"/>
      <c r="D103" s="32" t="s">
        <v>21</v>
      </c>
      <c r="E103" s="26"/>
      <c r="F103" s="27"/>
    </row>
    <row r="104" ht="27" customHeight="1" spans="1:6">
      <c r="A104" s="22">
        <v>100</v>
      </c>
      <c r="B104" s="23" t="s">
        <v>642</v>
      </c>
      <c r="C104" s="23"/>
      <c r="D104" s="32" t="s">
        <v>21</v>
      </c>
      <c r="E104" s="26"/>
      <c r="F104" s="27"/>
    </row>
    <row r="105" ht="27" customHeight="1" spans="1:6">
      <c r="A105" s="22">
        <v>101</v>
      </c>
      <c r="B105" s="23" t="s">
        <v>643</v>
      </c>
      <c r="C105" s="23" t="s">
        <v>644</v>
      </c>
      <c r="D105" s="32" t="s">
        <v>171</v>
      </c>
      <c r="E105" s="26"/>
      <c r="F105" s="27"/>
    </row>
    <row r="106" ht="27" customHeight="1" spans="1:6">
      <c r="A106" s="22">
        <v>102</v>
      </c>
      <c r="B106" s="30" t="s">
        <v>645</v>
      </c>
      <c r="C106" s="23"/>
      <c r="D106" s="32" t="s">
        <v>403</v>
      </c>
      <c r="E106" s="26"/>
      <c r="F106" s="27"/>
    </row>
    <row r="107" ht="27" customHeight="1" spans="1:6">
      <c r="A107" s="22">
        <v>103</v>
      </c>
      <c r="B107" s="30" t="s">
        <v>646</v>
      </c>
      <c r="C107" s="23"/>
      <c r="D107" s="32" t="s">
        <v>21</v>
      </c>
      <c r="E107" s="26"/>
      <c r="F107" s="27"/>
    </row>
    <row r="108" ht="27" customHeight="1" spans="1:6">
      <c r="A108" s="22">
        <v>104</v>
      </c>
      <c r="B108" s="30" t="s">
        <v>647</v>
      </c>
      <c r="C108" s="23"/>
      <c r="D108" s="32" t="s">
        <v>403</v>
      </c>
      <c r="E108" s="26"/>
      <c r="F108" s="27"/>
    </row>
    <row r="109" ht="27" customHeight="1" spans="1:6">
      <c r="A109" s="22">
        <v>105</v>
      </c>
      <c r="B109" s="30" t="s">
        <v>648</v>
      </c>
      <c r="C109" s="23"/>
      <c r="D109" s="32" t="s">
        <v>171</v>
      </c>
      <c r="E109" s="26"/>
      <c r="F109" s="27"/>
    </row>
    <row r="110" ht="27" customHeight="1" spans="1:6">
      <c r="A110" s="22">
        <v>106</v>
      </c>
      <c r="B110" s="30" t="s">
        <v>649</v>
      </c>
      <c r="C110" s="23"/>
      <c r="D110" s="32" t="s">
        <v>171</v>
      </c>
      <c r="E110" s="26"/>
      <c r="F110" s="27"/>
    </row>
    <row r="111" ht="27" customHeight="1" spans="1:6">
      <c r="A111" s="22">
        <v>107</v>
      </c>
      <c r="B111" s="30" t="s">
        <v>650</v>
      </c>
      <c r="C111" s="23"/>
      <c r="D111" s="32" t="s">
        <v>14</v>
      </c>
      <c r="E111" s="26"/>
      <c r="F111" s="27"/>
    </row>
    <row r="112" ht="27" customHeight="1" spans="1:6">
      <c r="A112" s="22">
        <v>108</v>
      </c>
      <c r="B112" s="30" t="s">
        <v>651</v>
      </c>
      <c r="C112" s="23"/>
      <c r="D112" s="32" t="s">
        <v>403</v>
      </c>
      <c r="E112" s="26"/>
      <c r="F112" s="27"/>
    </row>
    <row r="113" ht="27" customHeight="1" spans="1:6">
      <c r="A113" s="22">
        <v>109</v>
      </c>
      <c r="B113" s="30" t="s">
        <v>652</v>
      </c>
      <c r="C113" s="23"/>
      <c r="D113" s="32" t="s">
        <v>403</v>
      </c>
      <c r="E113" s="26"/>
      <c r="F113" s="27"/>
    </row>
    <row r="114" ht="27" customHeight="1" spans="1:6">
      <c r="A114" s="22">
        <v>110</v>
      </c>
      <c r="B114" s="30" t="s">
        <v>653</v>
      </c>
      <c r="C114" s="23"/>
      <c r="D114" s="32" t="s">
        <v>14</v>
      </c>
      <c r="E114" s="26"/>
      <c r="F114" s="27"/>
    </row>
    <row r="115" ht="27" customHeight="1" spans="1:6">
      <c r="A115" s="22">
        <v>111</v>
      </c>
      <c r="B115" s="30" t="s">
        <v>654</v>
      </c>
      <c r="C115" s="23"/>
      <c r="D115" s="32" t="s">
        <v>171</v>
      </c>
      <c r="E115" s="26"/>
      <c r="F115" s="27"/>
    </row>
    <row r="116" ht="27" customHeight="1" spans="1:6">
      <c r="A116" s="22">
        <v>112</v>
      </c>
      <c r="B116" s="30" t="s">
        <v>655</v>
      </c>
      <c r="C116" s="23"/>
      <c r="D116" s="32" t="s">
        <v>14</v>
      </c>
      <c r="E116" s="26"/>
      <c r="F116" s="27"/>
    </row>
    <row r="117" ht="27" customHeight="1" spans="1:6">
      <c r="A117" s="22">
        <v>113</v>
      </c>
      <c r="B117" s="23" t="s">
        <v>656</v>
      </c>
      <c r="C117" s="23"/>
      <c r="D117" s="32" t="s">
        <v>174</v>
      </c>
      <c r="E117" s="26"/>
      <c r="F117" s="27"/>
    </row>
  </sheetData>
  <mergeCells count="3">
    <mergeCell ref="A1:F1"/>
    <mergeCell ref="A2:F2"/>
    <mergeCell ref="A3:F3"/>
  </mergeCells>
  <printOptions horizontalCentered="1"/>
  <pageMargins left="0" right="0"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9"/>
  <sheetViews>
    <sheetView workbookViewId="0">
      <selection activeCell="J5" sqref="J5"/>
    </sheetView>
  </sheetViews>
  <sheetFormatPr defaultColWidth="8" defaultRowHeight="12.75"/>
  <cols>
    <col min="1" max="1" width="6.625" style="2" customWidth="1"/>
    <col min="2" max="2" width="25.625" style="2" customWidth="1"/>
    <col min="3" max="3" width="15.625" style="3" customWidth="1"/>
    <col min="4" max="4" width="6.625" style="2" customWidth="1"/>
    <col min="5" max="5" width="12.625" style="4" customWidth="1"/>
    <col min="6" max="6" width="15.625" style="2" customWidth="1"/>
    <col min="7" max="16384" width="8" style="2"/>
  </cols>
  <sheetData>
    <row r="1" s="1" customFormat="1" ht="22" customHeight="1" spans="1:244">
      <c r="A1" s="5" t="s">
        <v>657</v>
      </c>
      <c r="B1" s="5"/>
      <c r="C1" s="5"/>
      <c r="D1" s="5"/>
      <c r="E1" s="5"/>
      <c r="F1" s="5"/>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row>
    <row r="2" s="2" customFormat="1" ht="56" customHeight="1" spans="1:6">
      <c r="A2" s="6" t="s">
        <v>658</v>
      </c>
      <c r="B2" s="7"/>
      <c r="C2" s="7"/>
      <c r="D2" s="7"/>
      <c r="E2" s="8"/>
      <c r="F2" s="7"/>
    </row>
    <row r="3" s="2" customFormat="1" ht="39" customHeight="1" spans="1:6">
      <c r="A3" s="9" t="s">
        <v>512</v>
      </c>
      <c r="B3" s="9"/>
      <c r="C3" s="9"/>
      <c r="D3" s="9"/>
      <c r="E3" s="10"/>
      <c r="F3" s="9"/>
    </row>
    <row r="4" s="2" customFormat="1" ht="34.5" customHeight="1" spans="1:6">
      <c r="A4" s="11" t="s">
        <v>1</v>
      </c>
      <c r="B4" s="11" t="s">
        <v>513</v>
      </c>
      <c r="C4" s="11" t="s">
        <v>514</v>
      </c>
      <c r="D4" s="11" t="s">
        <v>4</v>
      </c>
      <c r="E4" s="12" t="s">
        <v>515</v>
      </c>
      <c r="F4" s="11" t="s">
        <v>8</v>
      </c>
    </row>
    <row r="5" s="2" customFormat="1" spans="1:6">
      <c r="A5" s="13"/>
      <c r="B5" s="14"/>
      <c r="C5" s="13"/>
      <c r="D5" s="13"/>
      <c r="E5" s="15"/>
      <c r="F5" s="13"/>
    </row>
    <row r="6" s="2" customFormat="1" spans="1:6">
      <c r="A6" s="13"/>
      <c r="B6" s="14"/>
      <c r="C6" s="13"/>
      <c r="D6" s="13"/>
      <c r="E6" s="16"/>
      <c r="F6" s="13"/>
    </row>
    <row r="7" s="2" customFormat="1" spans="1:6">
      <c r="A7" s="13"/>
      <c r="B7" s="14"/>
      <c r="C7" s="13"/>
      <c r="D7" s="13"/>
      <c r="E7" s="15"/>
      <c r="F7" s="13"/>
    </row>
    <row r="8" s="2" customFormat="1" spans="1:6">
      <c r="A8" s="13"/>
      <c r="B8" s="14"/>
      <c r="C8" s="13"/>
      <c r="D8" s="17"/>
      <c r="E8" s="15"/>
      <c r="F8" s="13"/>
    </row>
    <row r="9" s="2" customFormat="1" spans="1:6">
      <c r="A9" s="13"/>
      <c r="B9" s="14"/>
      <c r="C9" s="13"/>
      <c r="D9" s="13"/>
      <c r="E9" s="15"/>
      <c r="F9" s="13"/>
    </row>
    <row r="10" s="2" customFormat="1" spans="1:6">
      <c r="A10" s="13"/>
      <c r="B10" s="14"/>
      <c r="C10" s="13"/>
      <c r="D10" s="13"/>
      <c r="E10" s="15"/>
      <c r="F10" s="13"/>
    </row>
    <row r="11" s="2" customFormat="1" spans="1:6">
      <c r="A11" s="13"/>
      <c r="B11" s="14"/>
      <c r="C11" s="13"/>
      <c r="D11" s="13"/>
      <c r="E11" s="15"/>
      <c r="F11" s="13"/>
    </row>
    <row r="12" s="2" customFormat="1" spans="1:6">
      <c r="A12" s="13"/>
      <c r="B12" s="14"/>
      <c r="C12" s="13"/>
      <c r="D12" s="17"/>
      <c r="E12" s="15"/>
      <c r="F12" s="13"/>
    </row>
    <row r="13" s="2" customFormat="1" spans="1:6">
      <c r="A13" s="13"/>
      <c r="B13" s="14"/>
      <c r="C13" s="13"/>
      <c r="D13" s="13"/>
      <c r="E13" s="15"/>
      <c r="F13" s="13"/>
    </row>
    <row r="14" s="2" customFormat="1" spans="1:6">
      <c r="A14" s="13"/>
      <c r="B14" s="14"/>
      <c r="C14" s="13"/>
      <c r="D14" s="17"/>
      <c r="E14" s="15"/>
      <c r="F14" s="13"/>
    </row>
    <row r="15" s="2" customFormat="1" spans="1:6">
      <c r="A15" s="13"/>
      <c r="B15" s="14"/>
      <c r="C15" s="13"/>
      <c r="D15" s="13"/>
      <c r="E15" s="15"/>
      <c r="F15" s="13"/>
    </row>
    <row r="16" s="2" customFormat="1" spans="1:6">
      <c r="A16" s="13"/>
      <c r="B16" s="14"/>
      <c r="C16" s="13"/>
      <c r="D16" s="13"/>
      <c r="E16" s="15"/>
      <c r="F16" s="13"/>
    </row>
    <row r="17" s="2" customFormat="1" spans="1:6">
      <c r="A17" s="13"/>
      <c r="B17" s="14"/>
      <c r="C17" s="13"/>
      <c r="D17" s="13"/>
      <c r="E17" s="15"/>
      <c r="F17" s="13"/>
    </row>
    <row r="18" s="2" customFormat="1" spans="1:6">
      <c r="A18" s="13"/>
      <c r="B18" s="14"/>
      <c r="C18" s="13"/>
      <c r="D18" s="13"/>
      <c r="E18" s="15"/>
      <c r="F18" s="13"/>
    </row>
    <row r="19" s="2" customFormat="1" spans="1:6">
      <c r="A19" s="13"/>
      <c r="B19" s="14"/>
      <c r="C19" s="13"/>
      <c r="D19" s="13"/>
      <c r="E19" s="15"/>
      <c r="F19" s="13"/>
    </row>
  </sheetData>
  <mergeCells count="3">
    <mergeCell ref="A1:F1"/>
    <mergeCell ref="A2:F2"/>
    <mergeCell ref="A3:F3"/>
  </mergeCells>
  <printOptions horizontalCentered="1"/>
  <pageMargins left="0" right="0" top="1" bottom="1"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9"/>
  <sheetViews>
    <sheetView workbookViewId="0">
      <selection activeCell="A2" sqref="A2:F2"/>
    </sheetView>
  </sheetViews>
  <sheetFormatPr defaultColWidth="8" defaultRowHeight="12.75"/>
  <cols>
    <col min="1" max="1" width="6.625" style="2" customWidth="1"/>
    <col min="2" max="2" width="25.625" style="2" customWidth="1"/>
    <col min="3" max="3" width="15.625" style="3" customWidth="1"/>
    <col min="4" max="4" width="6.625" style="2" customWidth="1"/>
    <col min="5" max="5" width="12.625" style="4" customWidth="1"/>
    <col min="6" max="6" width="15.625" style="2" customWidth="1"/>
    <col min="7" max="16384" width="8" style="2"/>
  </cols>
  <sheetData>
    <row r="1" s="1" customFormat="1" ht="22" customHeight="1" spans="1:244">
      <c r="A1" s="5" t="s">
        <v>659</v>
      </c>
      <c r="B1" s="5"/>
      <c r="C1" s="5"/>
      <c r="D1" s="5"/>
      <c r="E1" s="5"/>
      <c r="F1" s="5"/>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row>
    <row r="2" s="2" customFormat="1" ht="56" customHeight="1" spans="1:6">
      <c r="A2" s="6" t="s">
        <v>660</v>
      </c>
      <c r="B2" s="7"/>
      <c r="C2" s="7"/>
      <c r="D2" s="7"/>
      <c r="E2" s="8"/>
      <c r="F2" s="7"/>
    </row>
    <row r="3" s="2" customFormat="1" ht="39" customHeight="1" spans="1:6">
      <c r="A3" s="9" t="s">
        <v>512</v>
      </c>
      <c r="B3" s="9"/>
      <c r="C3" s="9"/>
      <c r="D3" s="9"/>
      <c r="E3" s="10"/>
      <c r="F3" s="9"/>
    </row>
    <row r="4" s="2" customFormat="1" ht="34.5" customHeight="1" spans="1:6">
      <c r="A4" s="11" t="s">
        <v>1</v>
      </c>
      <c r="B4" s="11" t="s">
        <v>661</v>
      </c>
      <c r="C4" s="11" t="s">
        <v>514</v>
      </c>
      <c r="D4" s="11" t="s">
        <v>4</v>
      </c>
      <c r="E4" s="12" t="s">
        <v>515</v>
      </c>
      <c r="F4" s="11" t="s">
        <v>8</v>
      </c>
    </row>
    <row r="5" s="2" customFormat="1" spans="1:6">
      <c r="A5" s="13"/>
      <c r="B5" s="14"/>
      <c r="C5" s="13"/>
      <c r="D5" s="13"/>
      <c r="E5" s="15"/>
      <c r="F5" s="13"/>
    </row>
    <row r="6" s="2" customFormat="1" spans="1:6">
      <c r="A6" s="13"/>
      <c r="B6" s="14"/>
      <c r="C6" s="13"/>
      <c r="D6" s="13"/>
      <c r="E6" s="16"/>
      <c r="F6" s="13"/>
    </row>
    <row r="7" s="2" customFormat="1" spans="1:6">
      <c r="A7" s="13"/>
      <c r="B7" s="14"/>
      <c r="C7" s="13"/>
      <c r="D7" s="13"/>
      <c r="E7" s="15"/>
      <c r="F7" s="13"/>
    </row>
    <row r="8" s="2" customFormat="1" spans="1:6">
      <c r="A8" s="13"/>
      <c r="B8" s="14"/>
      <c r="C8" s="13"/>
      <c r="D8" s="17"/>
      <c r="E8" s="15"/>
      <c r="F8" s="13"/>
    </row>
    <row r="9" s="2" customFormat="1" spans="1:6">
      <c r="A9" s="13"/>
      <c r="B9" s="14"/>
      <c r="C9" s="13"/>
      <c r="D9" s="13"/>
      <c r="E9" s="15"/>
      <c r="F9" s="13"/>
    </row>
    <row r="10" s="2" customFormat="1" spans="1:6">
      <c r="A10" s="13"/>
      <c r="B10" s="14"/>
      <c r="C10" s="13"/>
      <c r="D10" s="13"/>
      <c r="E10" s="15"/>
      <c r="F10" s="13"/>
    </row>
    <row r="11" s="2" customFormat="1" spans="1:6">
      <c r="A11" s="13"/>
      <c r="B11" s="14"/>
      <c r="C11" s="13"/>
      <c r="D11" s="13"/>
      <c r="E11" s="15"/>
      <c r="F11" s="13"/>
    </row>
    <row r="12" s="2" customFormat="1" spans="1:6">
      <c r="A12" s="13"/>
      <c r="B12" s="14"/>
      <c r="C12" s="13"/>
      <c r="D12" s="17"/>
      <c r="E12" s="15"/>
      <c r="F12" s="13"/>
    </row>
    <row r="13" s="2" customFormat="1" spans="1:6">
      <c r="A13" s="13"/>
      <c r="B13" s="14"/>
      <c r="C13" s="13"/>
      <c r="D13" s="13"/>
      <c r="E13" s="15"/>
      <c r="F13" s="13"/>
    </row>
    <row r="14" s="2" customFormat="1" spans="1:6">
      <c r="A14" s="13"/>
      <c r="B14" s="14"/>
      <c r="C14" s="13"/>
      <c r="D14" s="17"/>
      <c r="E14" s="15"/>
      <c r="F14" s="13"/>
    </row>
    <row r="15" s="2" customFormat="1" spans="1:6">
      <c r="A15" s="13"/>
      <c r="B15" s="14"/>
      <c r="C15" s="13"/>
      <c r="D15" s="13"/>
      <c r="E15" s="15"/>
      <c r="F15" s="13"/>
    </row>
    <row r="16" s="2" customFormat="1" spans="1:6">
      <c r="A16" s="13"/>
      <c r="B16" s="14"/>
      <c r="C16" s="13"/>
      <c r="D16" s="13"/>
      <c r="E16" s="15"/>
      <c r="F16" s="13"/>
    </row>
    <row r="17" s="2" customFormat="1" spans="1:6">
      <c r="A17" s="13"/>
      <c r="B17" s="14"/>
      <c r="C17" s="13"/>
      <c r="D17" s="13"/>
      <c r="E17" s="15"/>
      <c r="F17" s="13"/>
    </row>
    <row r="18" s="2" customFormat="1" spans="1:6">
      <c r="A18" s="13"/>
      <c r="B18" s="14"/>
      <c r="C18" s="13"/>
      <c r="D18" s="13"/>
      <c r="E18" s="15"/>
      <c r="F18" s="13"/>
    </row>
    <row r="19" s="2" customFormat="1" spans="1:6">
      <c r="A19" s="13"/>
      <c r="B19" s="14"/>
      <c r="C19" s="13"/>
      <c r="D19" s="13"/>
      <c r="E19" s="15"/>
      <c r="F19" s="13"/>
    </row>
  </sheetData>
  <mergeCells count="3">
    <mergeCell ref="A1:F1"/>
    <mergeCell ref="A2:F2"/>
    <mergeCell ref="A3:F3"/>
  </mergeCells>
  <printOptions horizontalCentered="1"/>
  <pageMargins left="0" right="0"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清单</vt:lpstr>
      <vt:lpstr>封面</vt:lpstr>
      <vt:lpstr>限价</vt:lpstr>
      <vt:lpstr>甲供主要材料</vt:lpstr>
      <vt:lpstr>临时设施甲供材</vt:lpstr>
      <vt:lpstr>周转材料及大型机械设备表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田静</cp:lastModifiedBy>
  <dcterms:created xsi:type="dcterms:W3CDTF">2019-06-27T06:07:00Z</dcterms:created>
  <dcterms:modified xsi:type="dcterms:W3CDTF">2020-12-08T08:37:50Z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